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áo cáo tháng 4\"/>
    </mc:Choice>
  </mc:AlternateContent>
  <bookViews>
    <workbookView xWindow="-120" yWindow="-120" windowWidth="19440" windowHeight="11160" tabRatio="726" firstSheet="1" activeTab="1"/>
  </bookViews>
  <sheets>
    <sheet name="foxz" sheetId="43" state="veryHidden" r:id="rId1"/>
    <sheet name="Phụ biểu Nông nghiệp" sheetId="44" r:id="rId2"/>
    <sheet name="zAVlCQg4" sheetId="9" state="hidden" r:id="rId3"/>
  </sheets>
  <definedNames>
    <definedName name="_1">#N/A</definedName>
    <definedName name="_1000A01">#N/A</definedName>
    <definedName name="_2">#N/A</definedName>
    <definedName name="_Builtin0">zAVlCQg4!$C$4</definedName>
    <definedName name="_CON1" localSheetId="1">#REF!</definedName>
    <definedName name="_CON1" localSheetId="2">#REF!</definedName>
    <definedName name="_CON1">#REF!</definedName>
    <definedName name="_CON2" localSheetId="1">#REF!</definedName>
    <definedName name="_CON2" localSheetId="2">#REF!</definedName>
    <definedName name="_CON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lap1" localSheetId="1">#REF!</definedName>
    <definedName name="_lap1" localSheetId="2">#REF!</definedName>
    <definedName name="_lap1">#REF!</definedName>
    <definedName name="_lap2" localSheetId="1">#REF!</definedName>
    <definedName name="_lap2" localSheetId="2">#REF!</definedName>
    <definedName name="_lap2">#REF!</definedName>
    <definedName name="_NET2" localSheetId="1">#REF!</definedName>
    <definedName name="_NET2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 localSheetId="1">#REF!</definedName>
    <definedName name="AA" localSheetId="2">#REF!</definedName>
    <definedName name="AA">#REF!</definedName>
    <definedName name="All_Item" localSheetId="1">#REF!</definedName>
    <definedName name="All_Item" localSheetId="2">#REF!</definedName>
    <definedName name="All_Item">#REF!</definedName>
    <definedName name="ALPIN">#N/A</definedName>
    <definedName name="ALPJYOU">#N/A</definedName>
    <definedName name="ALPTOI">#N/A</definedName>
    <definedName name="BB" localSheetId="1">#REF!</definedName>
    <definedName name="BB" localSheetId="2">#REF!</definedName>
    <definedName name="BB">#REF!</definedName>
    <definedName name="BOQ" localSheetId="1">#REF!</definedName>
    <definedName name="BOQ" localSheetId="2">#REF!</definedName>
    <definedName name="BOQ">#REF!</definedName>
    <definedName name="Bust">zAVlCQg4!$C$31</definedName>
    <definedName name="BVCISUMMARY" localSheetId="1">#REF!</definedName>
    <definedName name="BVCISUMMARY" localSheetId="2">#REF!</definedName>
    <definedName name="BVCISUMMARY">#REF!</definedName>
    <definedName name="cap" localSheetId="1">#REF!</definedName>
    <definedName name="cap" localSheetId="2">#REF!</definedName>
    <definedName name="cap">#REF!</definedName>
    <definedName name="cap0.7" localSheetId="1">#REF!</definedName>
    <definedName name="cap0.7" localSheetId="2">#REF!</definedName>
    <definedName name="cap0.7">#REF!</definedName>
    <definedName name="Category_All" localSheetId="1">#REF!</definedName>
    <definedName name="Category_All" localSheetId="2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L" localSheetId="1">#REF!</definedName>
    <definedName name="CL" localSheetId="2">#REF!</definedName>
    <definedName name="CL">#REF!</definedName>
    <definedName name="COMMON" localSheetId="1">#REF!</definedName>
    <definedName name="COMMON">#REF!</definedName>
    <definedName name="CON_EQP_COS" localSheetId="1">#REF!</definedName>
    <definedName name="CON_EQP_COS" localSheetId="2">#REF!</definedName>
    <definedName name="CON_EQP_COS">#REF!</definedName>
    <definedName name="CON_EQP_COST" localSheetId="1">#REF!</definedName>
    <definedName name="CON_EQP_COST" localSheetId="2">#REF!</definedName>
    <definedName name="CON_EQP_COST">#REF!</definedName>
    <definedName name="CONST_EQ" localSheetId="1">#REF!</definedName>
    <definedName name="CONST_EQ" localSheetId="2">#REF!</definedName>
    <definedName name="CONST_EQ">#REF!</definedName>
    <definedName name="Continue">zAVlCQg4!$C$9</definedName>
    <definedName name="COVER" localSheetId="1">#REF!</definedName>
    <definedName name="COVER" localSheetId="2">#REF!</definedName>
    <definedName name="COVER">#REF!</definedName>
    <definedName name="CRITINST" localSheetId="1">#REF!</definedName>
    <definedName name="CRITINST" localSheetId="2">#REF!</definedName>
    <definedName name="CRITINST">#REF!</definedName>
    <definedName name="CRITPURC" localSheetId="1">#REF!</definedName>
    <definedName name="CRITPURC" localSheetId="2">#REF!</definedName>
    <definedName name="CRITPURC">#REF!</definedName>
    <definedName name="CS_10" localSheetId="1">#REF!</definedName>
    <definedName name="CS_10" localSheetId="2">#REF!</definedName>
    <definedName name="CS_10">#REF!</definedName>
    <definedName name="CS_100" localSheetId="1">#REF!</definedName>
    <definedName name="CS_100" localSheetId="2">#REF!</definedName>
    <definedName name="CS_100">#REF!</definedName>
    <definedName name="CS_10S" localSheetId="1">#REF!</definedName>
    <definedName name="CS_10S" localSheetId="2">#REF!</definedName>
    <definedName name="CS_10S">#REF!</definedName>
    <definedName name="CS_120" localSheetId="1">#REF!</definedName>
    <definedName name="CS_120" localSheetId="2">#REF!</definedName>
    <definedName name="CS_120">#REF!</definedName>
    <definedName name="CS_140" localSheetId="1">#REF!</definedName>
    <definedName name="CS_140" localSheetId="2">#REF!</definedName>
    <definedName name="CS_140">#REF!</definedName>
    <definedName name="CS_160" localSheetId="1">#REF!</definedName>
    <definedName name="CS_160" localSheetId="2">#REF!</definedName>
    <definedName name="CS_160">#REF!</definedName>
    <definedName name="CS_20" localSheetId="1">#REF!</definedName>
    <definedName name="CS_20" localSheetId="2">#REF!</definedName>
    <definedName name="CS_20">#REF!</definedName>
    <definedName name="CS_30" localSheetId="1">#REF!</definedName>
    <definedName name="CS_30" localSheetId="2">#REF!</definedName>
    <definedName name="CS_30">#REF!</definedName>
    <definedName name="CS_40" localSheetId="1">#REF!</definedName>
    <definedName name="CS_40" localSheetId="2">#REF!</definedName>
    <definedName name="CS_40">#REF!</definedName>
    <definedName name="CS_40S" localSheetId="1">#REF!</definedName>
    <definedName name="CS_40S" localSheetId="2">#REF!</definedName>
    <definedName name="CS_40S">#REF!</definedName>
    <definedName name="CS_5S" localSheetId="1">#REF!</definedName>
    <definedName name="CS_5S" localSheetId="2">#REF!</definedName>
    <definedName name="CS_5S">#REF!</definedName>
    <definedName name="CS_60" localSheetId="1">#REF!</definedName>
    <definedName name="CS_60" localSheetId="2">#REF!</definedName>
    <definedName name="CS_60">#REF!</definedName>
    <definedName name="CS_80" localSheetId="1">#REF!</definedName>
    <definedName name="CS_80" localSheetId="2">#REF!</definedName>
    <definedName name="CS_80">#REF!</definedName>
    <definedName name="CS_80S" localSheetId="1">#REF!</definedName>
    <definedName name="CS_80S" localSheetId="2">#REF!</definedName>
    <definedName name="CS_80S">#REF!</definedName>
    <definedName name="CS_STD" localSheetId="1">#REF!</definedName>
    <definedName name="CS_STD" localSheetId="2">#REF!</definedName>
    <definedName name="CS_STD">#REF!</definedName>
    <definedName name="CS_XS" localSheetId="1">#REF!</definedName>
    <definedName name="CS_XS" localSheetId="2">#REF!</definedName>
    <definedName name="CS_XS">#REF!</definedName>
    <definedName name="CS_XXS" localSheetId="1">#REF!</definedName>
    <definedName name="CS_XXS" localSheetId="2">#REF!</definedName>
    <definedName name="CS_XXS">#REF!</definedName>
    <definedName name="CT" localSheetId="1">#REF!</definedName>
    <definedName name="CT" localSheetId="2">#REF!</definedName>
    <definedName name="CT">#REF!</definedName>
    <definedName name="ctdn9697" localSheetId="1">#REF!</definedName>
    <definedName name="ctdn9697" localSheetId="2">#REF!</definedName>
    <definedName name="ctdn9697">#REF!</definedName>
    <definedName name="CURRENCY" localSheetId="1">#REF!</definedName>
    <definedName name="CURRENCY" localSheetId="2">#REF!</definedName>
    <definedName name="CURRENCY">#REF!</definedName>
    <definedName name="D_7101A_B" localSheetId="1">#REF!</definedName>
    <definedName name="D_7101A_B" localSheetId="2">#REF!</definedName>
    <definedName name="D_7101A_B">#REF!</definedName>
    <definedName name="DG" localSheetId="1">#REF!</definedName>
    <definedName name="DG" localSheetId="2">#REF!</definedName>
    <definedName name="DG">#REF!</definedName>
    <definedName name="dobt" localSheetId="1">#REF!</definedName>
    <definedName name="dobt" localSheetId="2">#REF!</definedName>
    <definedName name="dobt">#REF!</definedName>
    <definedName name="Document_array" localSheetId="2">{"ÿÿÿÿÿ","BC Tong ket nam 2008 &amp; KH nam 2009.xls","BC thang 12 nam 2008.xls"}</definedName>
    <definedName name="Documents_array">zAVlCQg4!$B$1:$B$16</definedName>
    <definedName name="DSUMDATA" localSheetId="1">#REF!</definedName>
    <definedName name="DSUMDATA" localSheetId="2">#REF!</definedName>
    <definedName name="DSUMDATA">#REF!</definedName>
    <definedName name="End_1" localSheetId="1">#REF!</definedName>
    <definedName name="End_1" localSheetId="2">#REF!</definedName>
    <definedName name="End_1">#REF!</definedName>
    <definedName name="End_10" localSheetId="1">#REF!</definedName>
    <definedName name="End_10" localSheetId="2">#REF!</definedName>
    <definedName name="End_10">#REF!</definedName>
    <definedName name="End_11" localSheetId="1">#REF!</definedName>
    <definedName name="End_11" localSheetId="2">#REF!</definedName>
    <definedName name="End_11">#REF!</definedName>
    <definedName name="End_12" localSheetId="1">#REF!</definedName>
    <definedName name="End_12" localSheetId="2">#REF!</definedName>
    <definedName name="End_12">#REF!</definedName>
    <definedName name="End_13" localSheetId="1">#REF!</definedName>
    <definedName name="End_13" localSheetId="2">#REF!</definedName>
    <definedName name="End_13">#REF!</definedName>
    <definedName name="End_2" localSheetId="1">#REF!</definedName>
    <definedName name="End_2" localSheetId="2">#REF!</definedName>
    <definedName name="End_2">#REF!</definedName>
    <definedName name="End_3" localSheetId="1">#REF!</definedName>
    <definedName name="End_3" localSheetId="2">#REF!</definedName>
    <definedName name="End_3">#REF!</definedName>
    <definedName name="End_4" localSheetId="1">#REF!</definedName>
    <definedName name="End_4" localSheetId="2">#REF!</definedName>
    <definedName name="End_4">#REF!</definedName>
    <definedName name="End_5" localSheetId="1">#REF!</definedName>
    <definedName name="End_5" localSheetId="2">#REF!</definedName>
    <definedName name="End_5">#REF!</definedName>
    <definedName name="End_6" localSheetId="1">#REF!</definedName>
    <definedName name="End_6" localSheetId="2">#REF!</definedName>
    <definedName name="End_6">#REF!</definedName>
    <definedName name="End_7" localSheetId="1">#REF!</definedName>
    <definedName name="End_7" localSheetId="2">#REF!</definedName>
    <definedName name="End_7">#REF!</definedName>
    <definedName name="End_8" localSheetId="1">#REF!</definedName>
    <definedName name="End_8" localSheetId="2">#REF!</definedName>
    <definedName name="End_8">#REF!</definedName>
    <definedName name="End_9" localSheetId="1">#REF!</definedName>
    <definedName name="End_9" localSheetId="2">#REF!</definedName>
    <definedName name="End_9">#REF!</definedName>
    <definedName name="FACTOR" localSheetId="1">#REF!</definedName>
    <definedName name="FACTOR" localSheetId="2">#REF!</definedName>
    <definedName name="FACTOR">#REF!</definedName>
    <definedName name="Hello">zAVlCQg4!$A$15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 localSheetId="1">#REF!</definedName>
    <definedName name="IDLAB_COST" localSheetId="2">#REF!</definedName>
    <definedName name="IDLAB_COST">#REF!</definedName>
    <definedName name="IND_LAB" localSheetId="1">#REF!</definedName>
    <definedName name="IND_LAB" localSheetId="2">#REF!</definedName>
    <definedName name="IND_LAB">#REF!</definedName>
    <definedName name="INDMANP" localSheetId="1">#REF!</definedName>
    <definedName name="INDMANP" localSheetId="2">#REF!</definedName>
    <definedName name="INDMANP">#REF!</definedName>
    <definedName name="K" localSheetId="1">#REF!</definedName>
    <definedName name="K" localSheetId="2">#REF!</definedName>
    <definedName name="K">#REF!</definedName>
    <definedName name="KVC" localSheetId="1">#REF!</definedName>
    <definedName name="KVC" localSheetId="2">#REF!</definedName>
    <definedName name="KVC">#REF!</definedName>
    <definedName name="L" localSheetId="1">#REF!</definedName>
    <definedName name="L" localSheetId="2">#REF!</definedName>
    <definedName name="L">#REF!</definedName>
    <definedName name="lVC" localSheetId="1">#REF!</definedName>
    <definedName name="lVC" localSheetId="2">#REF!</definedName>
    <definedName name="lVC">#REF!</definedName>
    <definedName name="MAJ_CON_EQP" localSheetId="1">#REF!</definedName>
    <definedName name="MAJ_CON_EQP" localSheetId="2">#REF!</definedName>
    <definedName name="MAJ_CON_EQP">#REF!</definedName>
    <definedName name="MG_A" localSheetId="1">#REF!</definedName>
    <definedName name="MG_A" localSheetId="2">#REF!</definedName>
    <definedName name="MG_A">#REF!</definedName>
    <definedName name="NCcap0.7" localSheetId="1">#REF!</definedName>
    <definedName name="NCcap0.7" localSheetId="2">#REF!</definedName>
    <definedName name="NCcap0.7">#REF!</definedName>
    <definedName name="NCcap1" localSheetId="1">#REF!</definedName>
    <definedName name="NCcap1" localSheetId="2">#REF!</definedName>
    <definedName name="NCcap1">#REF!</definedName>
    <definedName name="NET" localSheetId="1">#REF!</definedName>
    <definedName name="NET" localSheetId="2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 localSheetId="2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PRICE" localSheetId="1">#REF!</definedName>
    <definedName name="PRICE" localSheetId="2">#REF!</definedName>
    <definedName name="PRICE">#REF!</definedName>
    <definedName name="PRICE1" localSheetId="1">#REF!</definedName>
    <definedName name="PRICE1" localSheetId="2">#REF!</definedName>
    <definedName name="PRICE1">#REF!</definedName>
    <definedName name="_xlnm.Print_Titles" localSheetId="1">'Phụ biểu Nông nghiệp'!$4:$5</definedName>
    <definedName name="Print_Titles_MI" localSheetId="1">#REF!</definedName>
    <definedName name="Print_Titles_MI" localSheetId="2">#REF!</definedName>
    <definedName name="Print_Titles_MI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POSAL" localSheetId="1">#REF!</definedName>
    <definedName name="PROPOSAL" localSheetId="2">#REF!</definedName>
    <definedName name="PROPOSAL">#REF!</definedName>
    <definedName name="RECOUT">#N/A</definedName>
    <definedName name="RFP003A" localSheetId="1">#REF!</definedName>
    <definedName name="RFP003A" localSheetId="2">#REF!</definedName>
    <definedName name="RFP003A">#REF!</definedName>
    <definedName name="RFP003B" localSheetId="1">#REF!</definedName>
    <definedName name="RFP003B" localSheetId="2">#REF!</definedName>
    <definedName name="RFP003B">#REF!</definedName>
    <definedName name="RFP003C" localSheetId="1">#REF!</definedName>
    <definedName name="RFP003C" localSheetId="2">#REF!</definedName>
    <definedName name="RFP003C">#REF!</definedName>
    <definedName name="RFP003D" localSheetId="1">#REF!</definedName>
    <definedName name="RFP003D" localSheetId="2">#REF!</definedName>
    <definedName name="RFP003D">#REF!</definedName>
    <definedName name="RFP003E" localSheetId="1">#REF!</definedName>
    <definedName name="RFP003E" localSheetId="2">#REF!</definedName>
    <definedName name="RFP003E">#REF!</definedName>
    <definedName name="RFP003F" localSheetId="1">#REF!</definedName>
    <definedName name="RFP003F" localSheetId="2">#REF!</definedName>
    <definedName name="RFP003F">#REF!</definedName>
    <definedName name="SCH" localSheetId="1">#REF!</definedName>
    <definedName name="SCH" localSheetId="2">#REF!</definedName>
    <definedName name="SCH">#REF!</definedName>
    <definedName name="SIZE" localSheetId="1">#REF!</definedName>
    <definedName name="SIZE" localSheetId="2">#REF!</definedName>
    <definedName name="SIZE">#REF!</definedName>
    <definedName name="SORT" localSheetId="1">#REF!</definedName>
    <definedName name="SORT" localSheetId="2">#REF!</definedName>
    <definedName name="SORT">#REF!</definedName>
    <definedName name="SPEC" localSheetId="1">#REF!</definedName>
    <definedName name="SPEC" localSheetId="2">#REF!</definedName>
    <definedName name="SPEC">#REF!</definedName>
    <definedName name="SPECSUMMARY" localSheetId="1">#REF!</definedName>
    <definedName name="SPECSUMMARY" localSheetId="2">#REF!</definedName>
    <definedName name="SPECSUMMARY">#REF!</definedName>
    <definedName name="Start_1" localSheetId="1">#REF!</definedName>
    <definedName name="Start_1" localSheetId="2">#REF!</definedName>
    <definedName name="Start_1">#REF!</definedName>
    <definedName name="Start_10" localSheetId="1">#REF!</definedName>
    <definedName name="Start_10" localSheetId="2">#REF!</definedName>
    <definedName name="Start_10">#REF!</definedName>
    <definedName name="Start_11" localSheetId="1">#REF!</definedName>
    <definedName name="Start_11" localSheetId="2">#REF!</definedName>
    <definedName name="Start_11">#REF!</definedName>
    <definedName name="Start_12" localSheetId="1">#REF!</definedName>
    <definedName name="Start_12" localSheetId="2">#REF!</definedName>
    <definedName name="Start_12">#REF!</definedName>
    <definedName name="Start_13" localSheetId="1">#REF!</definedName>
    <definedName name="Start_13" localSheetId="2">#REF!</definedName>
    <definedName name="Start_13">#REF!</definedName>
    <definedName name="Start_2" localSheetId="1">#REF!</definedName>
    <definedName name="Start_2" localSheetId="2">#REF!</definedName>
    <definedName name="Start_2">#REF!</definedName>
    <definedName name="Start_3" localSheetId="1">#REF!</definedName>
    <definedName name="Start_3" localSheetId="2">#REF!</definedName>
    <definedName name="Start_3">#REF!</definedName>
    <definedName name="Start_4" localSheetId="1">#REF!</definedName>
    <definedName name="Start_4" localSheetId="2">#REF!</definedName>
    <definedName name="Start_4">#REF!</definedName>
    <definedName name="Start_5" localSheetId="1">#REF!</definedName>
    <definedName name="Start_5" localSheetId="2">#REF!</definedName>
    <definedName name="Start_5">#REF!</definedName>
    <definedName name="Start_6" localSheetId="1">#REF!</definedName>
    <definedName name="Start_6" localSheetId="2">#REF!</definedName>
    <definedName name="Start_6">#REF!</definedName>
    <definedName name="Start_7" localSheetId="1">#REF!</definedName>
    <definedName name="Start_7" localSheetId="2">#REF!</definedName>
    <definedName name="Start_7">#REF!</definedName>
    <definedName name="Start_8" localSheetId="1">#REF!</definedName>
    <definedName name="Start_8" localSheetId="2">#REF!</definedName>
    <definedName name="Start_8">#REF!</definedName>
    <definedName name="Start_9" localSheetId="1">#REF!</definedName>
    <definedName name="Start_9" localSheetId="2">#REF!</definedName>
    <definedName name="Start_9">#REF!</definedName>
    <definedName name="SUMMARY" localSheetId="1">#REF!</definedName>
    <definedName name="SUMMARY">#REF!</definedName>
    <definedName name="THI" localSheetId="1">#REF!</definedName>
    <definedName name="THI">#REF!</definedName>
    <definedName name="TITAN" localSheetId="1">#REF!</definedName>
    <definedName name="TITAN">#REF!</definedName>
    <definedName name="TPLRP" localSheetId="1">#REF!</definedName>
    <definedName name="TPLRP" localSheetId="2">#REF!</definedName>
    <definedName name="TPLRP">#REF!</definedName>
    <definedName name="TRADE2" localSheetId="1">#REF!</definedName>
    <definedName name="TRADE2" localSheetId="2">#REF!</definedName>
    <definedName name="TRADE2">#REF!</definedName>
    <definedName name="ttbt" localSheetId="1">#REF!</definedName>
    <definedName name="ttbt" localSheetId="2">#REF!</definedName>
    <definedName name="ttbt">#REF!</definedName>
    <definedName name="VARIINST" localSheetId="1">#REF!</definedName>
    <definedName name="VARIINST" localSheetId="2">#REF!</definedName>
    <definedName name="VARIINST">#REF!</definedName>
    <definedName name="VARIPURC" localSheetId="1">#REF!</definedName>
    <definedName name="VARIPURC" localSheetId="2">#REF!</definedName>
    <definedName name="VARIPURC">#REF!</definedName>
    <definedName name="vccot" localSheetId="1">#REF!</definedName>
    <definedName name="vccot" localSheetId="2">#REF!</definedName>
    <definedName name="vccot">#REF!</definedName>
    <definedName name="vctb" localSheetId="1">#REF!</definedName>
    <definedName name="vctb" localSheetId="2">#REF!</definedName>
    <definedName name="vctb">#REF!</definedName>
    <definedName name="Vlcap0.7" localSheetId="1">#REF!</definedName>
    <definedName name="Vlcap0.7" localSheetId="2">#REF!</definedName>
    <definedName name="Vlcap0.7">#REF!</definedName>
    <definedName name="VLcap1" localSheetId="1">#REF!</definedName>
    <definedName name="VLcap1" localSheetId="2">#REF!</definedName>
    <definedName name="VLcap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58" i="44" l="1"/>
  <c r="AA158" i="44"/>
  <c r="Y158" i="44"/>
  <c r="W158" i="44"/>
  <c r="U158" i="44"/>
  <c r="S158" i="44"/>
  <c r="Q158" i="44"/>
  <c r="Q112" i="44"/>
  <c r="AC112" i="44"/>
  <c r="AC56" i="44"/>
  <c r="AA56" i="44"/>
  <c r="Y56" i="44"/>
  <c r="W56" i="44"/>
  <c r="U56" i="44"/>
  <c r="S56" i="44"/>
  <c r="Q56" i="44"/>
  <c r="W144" i="44"/>
  <c r="U144" i="44"/>
  <c r="Q144" i="44"/>
  <c r="Y145" i="44"/>
  <c r="S145" i="44"/>
  <c r="AA112" i="44"/>
  <c r="Y112" i="44"/>
  <c r="W112" i="44"/>
  <c r="U112" i="44"/>
  <c r="S112" i="44"/>
  <c r="Y144" i="44"/>
  <c r="S144" i="44"/>
  <c r="AC147" i="44"/>
  <c r="AA147" i="44"/>
  <c r="Y147" i="44"/>
  <c r="W147" i="44"/>
  <c r="U147" i="44"/>
  <c r="S147" i="44"/>
  <c r="Q147" i="44"/>
  <c r="AC145" i="44"/>
  <c r="AA145" i="44"/>
  <c r="W145" i="44"/>
  <c r="U145" i="44"/>
  <c r="Q145" i="44"/>
  <c r="AD39" i="44"/>
  <c r="AD36" i="44"/>
  <c r="AC65" i="44"/>
  <c r="Y65" i="44"/>
  <c r="W65" i="44"/>
  <c r="U65" i="44"/>
  <c r="S65" i="44"/>
  <c r="Q65" i="44"/>
  <c r="AC61" i="44"/>
  <c r="AA61" i="44"/>
  <c r="Y61" i="44"/>
  <c r="W61" i="44"/>
  <c r="U61" i="44"/>
  <c r="S61" i="44"/>
  <c r="Q61" i="44"/>
  <c r="AC146" i="44"/>
  <c r="AA146" i="44"/>
  <c r="Y146" i="44"/>
  <c r="W146" i="44"/>
  <c r="U146" i="44"/>
  <c r="S146" i="44"/>
  <c r="Q146" i="44"/>
  <c r="AC20" i="44"/>
  <c r="AA20" i="44"/>
  <c r="W20" i="44"/>
  <c r="U20" i="44"/>
  <c r="S20" i="44"/>
  <c r="Y16" i="44"/>
  <c r="N70" i="44"/>
  <c r="S70" i="44" l="1"/>
  <c r="W70" i="44"/>
  <c r="O41" i="44"/>
  <c r="AD114" i="44"/>
  <c r="AD118" i="44"/>
  <c r="AD113" i="44"/>
  <c r="AD106" i="44"/>
  <c r="AD91" i="44"/>
  <c r="AD86" i="44"/>
  <c r="AD80" i="44"/>
  <c r="AD75" i="44"/>
  <c r="O55" i="44"/>
  <c r="AC55" i="44"/>
  <c r="AA55" i="44"/>
  <c r="Y55" i="44"/>
  <c r="W55" i="44"/>
  <c r="U55" i="44"/>
  <c r="S55" i="44"/>
  <c r="Q55" i="44"/>
  <c r="R56" i="44"/>
  <c r="P56" i="44"/>
  <c r="Y70" i="44"/>
  <c r="AA70" i="44"/>
  <c r="AC63" i="44" l="1"/>
  <c r="U63" i="44"/>
  <c r="AC67" i="44"/>
  <c r="AA65" i="44"/>
  <c r="AA75" i="44"/>
  <c r="Y75" i="44"/>
  <c r="W75" i="44"/>
  <c r="W77" i="44" s="1"/>
  <c r="S75" i="44"/>
  <c r="AC43" i="44"/>
  <c r="AA43" i="44"/>
  <c r="Y43" i="44"/>
  <c r="W43" i="44"/>
  <c r="U43" i="44"/>
  <c r="U45" i="44" s="1"/>
  <c r="S43" i="44"/>
  <c r="Q43" i="44"/>
  <c r="O43" i="44" s="1"/>
  <c r="AC47" i="44"/>
  <c r="AA47" i="44"/>
  <c r="Y47" i="44"/>
  <c r="W47" i="44"/>
  <c r="W36" i="44" s="1"/>
  <c r="U47" i="44"/>
  <c r="S47" i="44"/>
  <c r="S49" i="44" s="1"/>
  <c r="Q47" i="44"/>
  <c r="O20" i="44"/>
  <c r="AD20" i="44" s="1"/>
  <c r="Q20" i="44"/>
  <c r="AC28" i="44"/>
  <c r="AA28" i="44"/>
  <c r="Y28" i="44"/>
  <c r="W28" i="44"/>
  <c r="U28" i="44"/>
  <c r="S28" i="44"/>
  <c r="Q28" i="44"/>
  <c r="AC32" i="44"/>
  <c r="AC34" i="44" s="1"/>
  <c r="AA32" i="44"/>
  <c r="Y32" i="44"/>
  <c r="Y34" i="44" s="1"/>
  <c r="W32" i="44"/>
  <c r="U32" i="44"/>
  <c r="U34" i="44" s="1"/>
  <c r="S32" i="44"/>
  <c r="Q32" i="44"/>
  <c r="Q34" i="44" s="1"/>
  <c r="P114" i="44"/>
  <c r="R114" i="44"/>
  <c r="V114" i="44"/>
  <c r="X114" i="44"/>
  <c r="Z114" i="44"/>
  <c r="N117" i="44"/>
  <c r="N116" i="44"/>
  <c r="AB115" i="44"/>
  <c r="AB114" i="44" s="1"/>
  <c r="Z115" i="44"/>
  <c r="X115" i="44"/>
  <c r="V115" i="44"/>
  <c r="T115" i="44"/>
  <c r="T114" i="44" s="1"/>
  <c r="R115" i="44"/>
  <c r="P115" i="44"/>
  <c r="N115" i="44"/>
  <c r="N114" i="44" s="1"/>
  <c r="N113" i="44" s="1"/>
  <c r="N20" i="44"/>
  <c r="N28" i="44"/>
  <c r="N24" i="44" s="1"/>
  <c r="N32" i="44"/>
  <c r="N39" i="44"/>
  <c r="N36" i="44" s="1"/>
  <c r="N43" i="44"/>
  <c r="N47" i="44"/>
  <c r="N52" i="44"/>
  <c r="N61" i="44"/>
  <c r="N59" i="44" s="1"/>
  <c r="N65" i="44"/>
  <c r="N75" i="44"/>
  <c r="N81" i="44"/>
  <c r="N80" i="44"/>
  <c r="N93" i="44"/>
  <c r="N92" i="44"/>
  <c r="P129" i="44"/>
  <c r="Q129" i="44"/>
  <c r="R129" i="44"/>
  <c r="S129" i="44"/>
  <c r="T129" i="44"/>
  <c r="U129" i="44"/>
  <c r="V129" i="44"/>
  <c r="W129" i="44"/>
  <c r="X129" i="44"/>
  <c r="Y129" i="44"/>
  <c r="Z129" i="44"/>
  <c r="AA129" i="44"/>
  <c r="AB129" i="44"/>
  <c r="AC129" i="44"/>
  <c r="O137" i="44"/>
  <c r="O138" i="44"/>
  <c r="O139" i="44"/>
  <c r="O140" i="44"/>
  <c r="O136" i="44"/>
  <c r="O158" i="44"/>
  <c r="N152" i="44"/>
  <c r="N155" i="44"/>
  <c r="N158" i="44"/>
  <c r="AB157" i="44"/>
  <c r="AB154" i="44"/>
  <c r="AB150" i="44"/>
  <c r="Z157" i="44"/>
  <c r="Z154" i="44"/>
  <c r="Z150" i="44"/>
  <c r="X157" i="44"/>
  <c r="X154" i="44"/>
  <c r="X150" i="44"/>
  <c r="V157" i="44"/>
  <c r="V154" i="44"/>
  <c r="V150" i="44"/>
  <c r="T157" i="44"/>
  <c r="T154" i="44"/>
  <c r="T151" i="44" s="1"/>
  <c r="T149" i="44" s="1"/>
  <c r="T150" i="44"/>
  <c r="R157" i="44"/>
  <c r="R154" i="44"/>
  <c r="R150" i="44"/>
  <c r="P157" i="44"/>
  <c r="P154" i="44"/>
  <c r="P150" i="44"/>
  <c r="N147" i="44"/>
  <c r="N143" i="44"/>
  <c r="AB146" i="44"/>
  <c r="AB145" i="44"/>
  <c r="AB142" i="44" s="1"/>
  <c r="AB141" i="44" s="1"/>
  <c r="AB144" i="44"/>
  <c r="Z145" i="44"/>
  <c r="Z144" i="44"/>
  <c r="Z142" i="44" s="1"/>
  <c r="Z141" i="44" s="1"/>
  <c r="X146" i="44"/>
  <c r="X145" i="44"/>
  <c r="X144" i="44"/>
  <c r="X142" i="44" s="1"/>
  <c r="X141" i="44" s="1"/>
  <c r="V146" i="44"/>
  <c r="V145" i="44"/>
  <c r="V144" i="44"/>
  <c r="V142" i="44" s="1"/>
  <c r="V141" i="44" s="1"/>
  <c r="T146" i="44"/>
  <c r="T145" i="44"/>
  <c r="T144" i="44"/>
  <c r="T142" i="44" s="1"/>
  <c r="T141" i="44" s="1"/>
  <c r="R146" i="44"/>
  <c r="R145" i="44"/>
  <c r="R144" i="44"/>
  <c r="R142" i="44" s="1"/>
  <c r="R141" i="44" s="1"/>
  <c r="P146" i="44"/>
  <c r="N146" i="44" s="1"/>
  <c r="P145" i="44"/>
  <c r="P144" i="44"/>
  <c r="N144" i="44" s="1"/>
  <c r="N140" i="44"/>
  <c r="N138" i="44"/>
  <c r="N136" i="44"/>
  <c r="Q118" i="44"/>
  <c r="R118" i="44"/>
  <c r="S118" i="44"/>
  <c r="T118" i="44"/>
  <c r="U118" i="44"/>
  <c r="V118" i="44"/>
  <c r="W118" i="44"/>
  <c r="X118" i="44"/>
  <c r="Y118" i="44"/>
  <c r="Z118" i="44"/>
  <c r="AA118" i="44"/>
  <c r="AB118" i="44"/>
  <c r="AC118" i="44"/>
  <c r="P118" i="44"/>
  <c r="N119" i="44"/>
  <c r="N118" i="44" s="1"/>
  <c r="O117" i="44"/>
  <c r="O116" i="44"/>
  <c r="AC115" i="44"/>
  <c r="AC114" i="44" s="1"/>
  <c r="AA115" i="44"/>
  <c r="AA114" i="44" s="1"/>
  <c r="Y115" i="44"/>
  <c r="Y114" i="44" s="1"/>
  <c r="W115" i="44"/>
  <c r="W114" i="44" s="1"/>
  <c r="U115" i="44"/>
  <c r="U114" i="44" s="1"/>
  <c r="S115" i="44"/>
  <c r="S114" i="44" s="1"/>
  <c r="Q115" i="44"/>
  <c r="Q114" i="44" s="1"/>
  <c r="AB112" i="44"/>
  <c r="Z112" i="44"/>
  <c r="X112" i="44"/>
  <c r="V112" i="44"/>
  <c r="T112" i="44"/>
  <c r="R112" i="44"/>
  <c r="P112" i="44"/>
  <c r="Z107" i="44"/>
  <c r="AA107" i="44" s="1"/>
  <c r="N108" i="44"/>
  <c r="AB107" i="44"/>
  <c r="AB106" i="44" s="1"/>
  <c r="X107" i="44"/>
  <c r="X106" i="44" s="1"/>
  <c r="V107" i="44"/>
  <c r="W107" i="44" s="1"/>
  <c r="T107" i="44"/>
  <c r="T106" i="44" s="1"/>
  <c r="R107" i="44"/>
  <c r="R106" i="44" s="1"/>
  <c r="P107" i="44"/>
  <c r="P106" i="44" s="1"/>
  <c r="N103" i="44"/>
  <c r="N104" i="44"/>
  <c r="N105" i="44"/>
  <c r="N102" i="44"/>
  <c r="AA99" i="44"/>
  <c r="AB99" i="44"/>
  <c r="AC99" i="44"/>
  <c r="Q99" i="44"/>
  <c r="R99" i="44"/>
  <c r="S99" i="44"/>
  <c r="T99" i="44"/>
  <c r="U99" i="44"/>
  <c r="V99" i="44"/>
  <c r="W99" i="44"/>
  <c r="X99" i="44"/>
  <c r="Y99" i="44"/>
  <c r="Z99" i="44"/>
  <c r="P99" i="44"/>
  <c r="P97" i="44" s="1"/>
  <c r="P78" i="44" s="1"/>
  <c r="AB98" i="44"/>
  <c r="AC98" i="44" s="1"/>
  <c r="Z98" i="44"/>
  <c r="AA98" i="44" s="1"/>
  <c r="X98" i="44"/>
  <c r="Y98" i="44" s="1"/>
  <c r="V98" i="44"/>
  <c r="W98" i="44" s="1"/>
  <c r="T98" i="44"/>
  <c r="U98" i="44" s="1"/>
  <c r="R98" i="44"/>
  <c r="S98" i="44" s="1"/>
  <c r="P98" i="44"/>
  <c r="Q98" i="44" s="1"/>
  <c r="AB95" i="44"/>
  <c r="AB88" i="44"/>
  <c r="AB83" i="44"/>
  <c r="AB77" i="44"/>
  <c r="AB72" i="44"/>
  <c r="AB68" i="44"/>
  <c r="AB67" i="44"/>
  <c r="AB63" i="44"/>
  <c r="AB59" i="44"/>
  <c r="AB56" i="44"/>
  <c r="AB50" i="44" s="1"/>
  <c r="AB54" i="44"/>
  <c r="AB49" i="44"/>
  <c r="AB45" i="44"/>
  <c r="AB36" i="44"/>
  <c r="AB34" i="44"/>
  <c r="AB30" i="44"/>
  <c r="AB24" i="44"/>
  <c r="AB16" i="44" s="1"/>
  <c r="AB22" i="44"/>
  <c r="Z95" i="44"/>
  <c r="Z91" i="44"/>
  <c r="Z88" i="44"/>
  <c r="Z83" i="44"/>
  <c r="Z76" i="44"/>
  <c r="Z77" i="44" s="1"/>
  <c r="Z70" i="44"/>
  <c r="Z72" i="44" s="1"/>
  <c r="Z67" i="44"/>
  <c r="Z63" i="44"/>
  <c r="Z59" i="44"/>
  <c r="Z56" i="44"/>
  <c r="Z50" i="44" s="1"/>
  <c r="Z54" i="44"/>
  <c r="Z49" i="44"/>
  <c r="Z45" i="44"/>
  <c r="Z41" i="44"/>
  <c r="Z36" i="44"/>
  <c r="Z34" i="44"/>
  <c r="Z30" i="44"/>
  <c r="Z24" i="44"/>
  <c r="Z16" i="44" s="1"/>
  <c r="Z22" i="44"/>
  <c r="X95" i="44"/>
  <c r="X91" i="44"/>
  <c r="N91" i="44" s="1"/>
  <c r="X86" i="44"/>
  <c r="X83" i="44"/>
  <c r="X77" i="44"/>
  <c r="X70" i="44"/>
  <c r="X68" i="44" s="1"/>
  <c r="X67" i="44"/>
  <c r="X63" i="44"/>
  <c r="X59" i="44"/>
  <c r="X56" i="44"/>
  <c r="X50" i="44" s="1"/>
  <c r="X54" i="44"/>
  <c r="X49" i="44"/>
  <c r="X45" i="44"/>
  <c r="X36" i="44"/>
  <c r="X34" i="44"/>
  <c r="X30" i="44"/>
  <c r="X24" i="44"/>
  <c r="X16" i="44" s="1"/>
  <c r="X22" i="44"/>
  <c r="V93" i="44"/>
  <c r="V95" i="44" s="1"/>
  <c r="V91" i="44"/>
  <c r="V88" i="44"/>
  <c r="V83" i="44"/>
  <c r="N83" i="44" s="1"/>
  <c r="N82" i="44" s="1"/>
  <c r="V77" i="44"/>
  <c r="V72" i="44"/>
  <c r="V68" i="44"/>
  <c r="V67" i="44"/>
  <c r="V63" i="44"/>
  <c r="V59" i="44"/>
  <c r="V56" i="44"/>
  <c r="V58" i="44" s="1"/>
  <c r="V54" i="44"/>
  <c r="N54" i="44" s="1"/>
  <c r="N53" i="44" s="1"/>
  <c r="V49" i="44"/>
  <c r="V45" i="44"/>
  <c r="V41" i="44"/>
  <c r="V36" i="44"/>
  <c r="V34" i="44"/>
  <c r="V30" i="44"/>
  <c r="V24" i="44"/>
  <c r="V16" i="44" s="1"/>
  <c r="V22" i="44"/>
  <c r="T95" i="44"/>
  <c r="T86" i="44"/>
  <c r="T88" i="44" s="1"/>
  <c r="T77" i="44"/>
  <c r="T72" i="44"/>
  <c r="T68" i="44"/>
  <c r="T67" i="44"/>
  <c r="T63" i="44"/>
  <c r="T59" i="44"/>
  <c r="T56" i="44"/>
  <c r="T50" i="44" s="1"/>
  <c r="T54" i="44"/>
  <c r="T49" i="44"/>
  <c r="T45" i="44"/>
  <c r="N45" i="44" s="1"/>
  <c r="N44" i="44" s="1"/>
  <c r="T41" i="44"/>
  <c r="N41" i="44" s="1"/>
  <c r="T36" i="44"/>
  <c r="T34" i="44"/>
  <c r="T30" i="44"/>
  <c r="T24" i="44"/>
  <c r="T16" i="44" s="1"/>
  <c r="T22" i="44"/>
  <c r="R95" i="44"/>
  <c r="R88" i="44"/>
  <c r="R83" i="44"/>
  <c r="R77" i="44"/>
  <c r="R72" i="44"/>
  <c r="R68" i="44"/>
  <c r="R67" i="44"/>
  <c r="R63" i="44"/>
  <c r="R59" i="44"/>
  <c r="R58" i="44"/>
  <c r="R54" i="44"/>
  <c r="R49" i="44"/>
  <c r="R45" i="44"/>
  <c r="R36" i="44"/>
  <c r="R34" i="44"/>
  <c r="R30" i="44"/>
  <c r="R24" i="44"/>
  <c r="R16" i="44" s="1"/>
  <c r="R22" i="44"/>
  <c r="N22" i="44" s="1"/>
  <c r="N21" i="44" s="1"/>
  <c r="P95" i="44"/>
  <c r="N95" i="44" s="1"/>
  <c r="N94" i="44" s="1"/>
  <c r="P88" i="44"/>
  <c r="P83" i="44"/>
  <c r="P77" i="44"/>
  <c r="N77" i="44" s="1"/>
  <c r="N76" i="44" s="1"/>
  <c r="P72" i="44"/>
  <c r="P68" i="44"/>
  <c r="P67" i="44"/>
  <c r="N67" i="44" s="1"/>
  <c r="N66" i="44" s="1"/>
  <c r="P63" i="44"/>
  <c r="N63" i="44" s="1"/>
  <c r="N62" i="44" s="1"/>
  <c r="P59" i="44"/>
  <c r="P50" i="44"/>
  <c r="P54" i="44"/>
  <c r="P49" i="44"/>
  <c r="N49" i="44" s="1"/>
  <c r="N48" i="44" s="1"/>
  <c r="P45" i="44"/>
  <c r="P36" i="44"/>
  <c r="P34" i="44"/>
  <c r="P30" i="44"/>
  <c r="N30" i="44" s="1"/>
  <c r="N29" i="44" s="1"/>
  <c r="P24" i="44"/>
  <c r="P16" i="44" s="1"/>
  <c r="P22" i="44"/>
  <c r="AC157" i="44"/>
  <c r="AA157" i="44"/>
  <c r="Y157" i="44"/>
  <c r="W157" i="44"/>
  <c r="U157" i="44"/>
  <c r="S157" i="44"/>
  <c r="Q157" i="44"/>
  <c r="O155" i="44"/>
  <c r="O157" i="44" s="1"/>
  <c r="AC154" i="44"/>
  <c r="AC151" i="44" s="1"/>
  <c r="AC149" i="44" s="1"/>
  <c r="AA154" i="44"/>
  <c r="AA151" i="44" s="1"/>
  <c r="AA149" i="44" s="1"/>
  <c r="Y154" i="44"/>
  <c r="W154" i="44"/>
  <c r="U154" i="44"/>
  <c r="U151" i="44" s="1"/>
  <c r="U149" i="44" s="1"/>
  <c r="S154" i="44"/>
  <c r="S151" i="44" s="1"/>
  <c r="S149" i="44" s="1"/>
  <c r="Q154" i="44"/>
  <c r="O152" i="44"/>
  <c r="O150" i="44" s="1"/>
  <c r="AC150" i="44"/>
  <c r="AA150" i="44"/>
  <c r="Y150" i="44"/>
  <c r="W150" i="44"/>
  <c r="U150" i="44"/>
  <c r="S150" i="44"/>
  <c r="Q150" i="44"/>
  <c r="O146" i="44"/>
  <c r="O145" i="44"/>
  <c r="AA144" i="44"/>
  <c r="O143" i="44"/>
  <c r="AC142" i="44"/>
  <c r="AC141" i="44" s="1"/>
  <c r="Y142" i="44"/>
  <c r="W142" i="44"/>
  <c r="O135" i="44"/>
  <c r="O134" i="44"/>
  <c r="O133" i="44"/>
  <c r="O132" i="44"/>
  <c r="AC131" i="44"/>
  <c r="AA131" i="44"/>
  <c r="Y131" i="44"/>
  <c r="W131" i="44"/>
  <c r="U131" i="44"/>
  <c r="S131" i="44"/>
  <c r="Q131" i="44"/>
  <c r="AC130" i="44"/>
  <c r="AA130" i="44"/>
  <c r="Y130" i="44"/>
  <c r="W130" i="44"/>
  <c r="U130" i="44"/>
  <c r="S130" i="44"/>
  <c r="Q130" i="44"/>
  <c r="AC126" i="44"/>
  <c r="AA126" i="44"/>
  <c r="Y126" i="44"/>
  <c r="W126" i="44"/>
  <c r="U126" i="44"/>
  <c r="S126" i="44"/>
  <c r="Q126" i="44"/>
  <c r="O125" i="44"/>
  <c r="AC123" i="44"/>
  <c r="O123" i="44" s="1"/>
  <c r="AA122" i="44"/>
  <c r="Y122" i="44"/>
  <c r="W122" i="44"/>
  <c r="U122" i="44"/>
  <c r="S122" i="44"/>
  <c r="Q122" i="44"/>
  <c r="O118" i="44"/>
  <c r="O110" i="44"/>
  <c r="O109" i="44"/>
  <c r="AC108" i="44"/>
  <c r="AA108" i="44"/>
  <c r="Y108" i="44"/>
  <c r="W108" i="44"/>
  <c r="U108" i="44"/>
  <c r="S108" i="44"/>
  <c r="Q108" i="44"/>
  <c r="O101" i="44"/>
  <c r="O100" i="44"/>
  <c r="AC95" i="44"/>
  <c r="AA95" i="44"/>
  <c r="Y95" i="44"/>
  <c r="W95" i="44"/>
  <c r="U95" i="44"/>
  <c r="S95" i="44"/>
  <c r="Q95" i="44"/>
  <c r="O93" i="44"/>
  <c r="O92" i="44"/>
  <c r="AA91" i="44"/>
  <c r="Y91" i="44"/>
  <c r="W91" i="44"/>
  <c r="AC88" i="44"/>
  <c r="Y88" i="44"/>
  <c r="W88" i="44"/>
  <c r="S88" i="44"/>
  <c r="Q88" i="44"/>
  <c r="AA86" i="44"/>
  <c r="AA88" i="44" s="1"/>
  <c r="U86" i="44"/>
  <c r="AC83" i="44"/>
  <c r="AA83" i="44"/>
  <c r="Y83" i="44"/>
  <c r="W83" i="44"/>
  <c r="S83" i="44"/>
  <c r="O81" i="44"/>
  <c r="AC80" i="44"/>
  <c r="AA80" i="44"/>
  <c r="Y80" i="44"/>
  <c r="W80" i="44"/>
  <c r="AA77" i="44"/>
  <c r="Y77" i="44"/>
  <c r="U77" i="44"/>
  <c r="S77" i="44"/>
  <c r="Q77" i="44"/>
  <c r="AC73" i="44"/>
  <c r="Q73" i="44"/>
  <c r="AC72" i="44"/>
  <c r="AA72" i="44"/>
  <c r="W72" i="44"/>
  <c r="Q72" i="44"/>
  <c r="Y72" i="44"/>
  <c r="U72" i="44"/>
  <c r="S72" i="44"/>
  <c r="AC68" i="44"/>
  <c r="AA68" i="44"/>
  <c r="Q68" i="44"/>
  <c r="AA67" i="44"/>
  <c r="Y67" i="44"/>
  <c r="W67" i="44"/>
  <c r="U67" i="44"/>
  <c r="S67" i="44"/>
  <c r="Q67" i="44"/>
  <c r="O65" i="44"/>
  <c r="AD65" i="44" s="1"/>
  <c r="AA63" i="44"/>
  <c r="Y63" i="44"/>
  <c r="W63" i="44"/>
  <c r="S63" i="44"/>
  <c r="Q63" i="44"/>
  <c r="O61" i="44"/>
  <c r="AD61" i="44" s="1"/>
  <c r="AA59" i="44"/>
  <c r="Y59" i="44"/>
  <c r="W59" i="44"/>
  <c r="S59" i="44"/>
  <c r="Q59" i="44"/>
  <c r="AC58" i="44"/>
  <c r="AA58" i="44"/>
  <c r="Y58" i="44"/>
  <c r="W58" i="44"/>
  <c r="U58" i="44"/>
  <c r="Q58" i="44"/>
  <c r="AC54" i="44"/>
  <c r="AA54" i="44"/>
  <c r="Y54" i="44"/>
  <c r="W54" i="44"/>
  <c r="U54" i="44"/>
  <c r="S54" i="44"/>
  <c r="Q54" i="44"/>
  <c r="W50" i="44"/>
  <c r="AC49" i="44"/>
  <c r="AA49" i="44"/>
  <c r="Y49" i="44"/>
  <c r="W49" i="44"/>
  <c r="U49" i="44"/>
  <c r="Q49" i="44"/>
  <c r="AC45" i="44"/>
  <c r="AA45" i="44"/>
  <c r="Y45" i="44"/>
  <c r="W45" i="44"/>
  <c r="S45" i="44"/>
  <c r="Q45" i="44"/>
  <c r="AA41" i="44"/>
  <c r="W41" i="44"/>
  <c r="U41" i="44"/>
  <c r="O39" i="44"/>
  <c r="AC36" i="44"/>
  <c r="AA36" i="44"/>
  <c r="Y36" i="44"/>
  <c r="S36" i="44"/>
  <c r="Q36" i="44"/>
  <c r="AA34" i="44"/>
  <c r="W34" i="44"/>
  <c r="S34" i="44"/>
  <c r="O32" i="44"/>
  <c r="AC30" i="44"/>
  <c r="AA30" i="44"/>
  <c r="Y30" i="44"/>
  <c r="W30" i="44"/>
  <c r="U30" i="44"/>
  <c r="S30" i="44"/>
  <c r="Q30" i="44"/>
  <c r="O28" i="44"/>
  <c r="AA24" i="44"/>
  <c r="AA16" i="44" s="1"/>
  <c r="W24" i="44"/>
  <c r="W16" i="44" s="1"/>
  <c r="S24" i="44"/>
  <c r="S16" i="44" s="1"/>
  <c r="AC22" i="44"/>
  <c r="AA22" i="44"/>
  <c r="Y22" i="44"/>
  <c r="W22" i="44"/>
  <c r="U22" i="44"/>
  <c r="S22" i="44"/>
  <c r="Q22" i="44"/>
  <c r="P151" i="44" l="1"/>
  <c r="P149" i="44" s="1"/>
  <c r="X151" i="44"/>
  <c r="X149" i="44" s="1"/>
  <c r="O129" i="44"/>
  <c r="N40" i="44"/>
  <c r="N38" i="44"/>
  <c r="N37" i="44" s="1"/>
  <c r="N16" i="44"/>
  <c r="N145" i="44"/>
  <c r="N142" i="44" s="1"/>
  <c r="N141" i="44" s="1"/>
  <c r="Q24" i="44"/>
  <c r="Q16" i="44" s="1"/>
  <c r="Y24" i="44"/>
  <c r="W68" i="44"/>
  <c r="O75" i="44"/>
  <c r="N34" i="44"/>
  <c r="N26" i="44" s="1"/>
  <c r="V151" i="44"/>
  <c r="V149" i="44" s="1"/>
  <c r="N86" i="44"/>
  <c r="N68" i="44"/>
  <c r="U36" i="44"/>
  <c r="U24" i="44"/>
  <c r="U16" i="44" s="1"/>
  <c r="AC24" i="44"/>
  <c r="AC16" i="44" s="1"/>
  <c r="O47" i="44"/>
  <c r="U59" i="44"/>
  <c r="AC59" i="44"/>
  <c r="P142" i="44"/>
  <c r="P141" i="44" s="1"/>
  <c r="N56" i="44"/>
  <c r="N50" i="44" s="1"/>
  <c r="N14" i="44" s="1"/>
  <c r="N154" i="44"/>
  <c r="N151" i="44" s="1"/>
  <c r="N149" i="44" s="1"/>
  <c r="W151" i="44"/>
  <c r="W149" i="44" s="1"/>
  <c r="N157" i="44"/>
  <c r="N156" i="44" s="1"/>
  <c r="AB151" i="44"/>
  <c r="AB149" i="44" s="1"/>
  <c r="Z151" i="44"/>
  <c r="Z149" i="44" s="1"/>
  <c r="N150" i="44"/>
  <c r="R151" i="44"/>
  <c r="R149" i="44" s="1"/>
  <c r="N129" i="44"/>
  <c r="V106" i="44"/>
  <c r="X97" i="44"/>
  <c r="X78" i="44" s="1"/>
  <c r="Y107" i="44"/>
  <c r="Y106" i="44" s="1"/>
  <c r="N112" i="44"/>
  <c r="N111" i="44" s="1"/>
  <c r="W106" i="44"/>
  <c r="O108" i="44"/>
  <c r="Z97" i="44"/>
  <c r="Z78" i="44" s="1"/>
  <c r="Q107" i="44"/>
  <c r="Q106" i="44" s="1"/>
  <c r="AB97" i="44"/>
  <c r="AB78" i="44" s="1"/>
  <c r="V97" i="44"/>
  <c r="V78" i="44" s="1"/>
  <c r="S107" i="44"/>
  <c r="AC107" i="44"/>
  <c r="AC106" i="44" s="1"/>
  <c r="R97" i="44"/>
  <c r="R78" i="44" s="1"/>
  <c r="U107" i="44"/>
  <c r="Z106" i="44"/>
  <c r="T97" i="44"/>
  <c r="T78" i="44" s="1"/>
  <c r="N98" i="44"/>
  <c r="N107" i="44"/>
  <c r="N106" i="44" s="1"/>
  <c r="N99" i="44"/>
  <c r="P26" i="44"/>
  <c r="P25" i="44" s="1"/>
  <c r="T26" i="44"/>
  <c r="T25" i="44" s="1"/>
  <c r="R50" i="44"/>
  <c r="R14" i="44" s="1"/>
  <c r="R13" i="44" s="1"/>
  <c r="V38" i="44"/>
  <c r="V37" i="44" s="1"/>
  <c r="X26" i="44"/>
  <c r="X25" i="44" s="1"/>
  <c r="X72" i="44"/>
  <c r="N72" i="44" s="1"/>
  <c r="N71" i="44" s="1"/>
  <c r="AB26" i="44"/>
  <c r="AB18" i="44" s="1"/>
  <c r="AB17" i="44" s="1"/>
  <c r="R38" i="44"/>
  <c r="R37" i="44" s="1"/>
  <c r="AB38" i="44"/>
  <c r="O98" i="44"/>
  <c r="T38" i="44"/>
  <c r="T37" i="44" s="1"/>
  <c r="V50" i="44"/>
  <c r="V14" i="44" s="1"/>
  <c r="AB14" i="44"/>
  <c r="P14" i="44"/>
  <c r="P13" i="44" s="1"/>
  <c r="S97" i="44"/>
  <c r="U97" i="44"/>
  <c r="AC97" i="44"/>
  <c r="R26" i="44"/>
  <c r="R25" i="44" s="1"/>
  <c r="V26" i="44"/>
  <c r="V25" i="44" s="1"/>
  <c r="Z26" i="44"/>
  <c r="Z18" i="44" s="1"/>
  <c r="Z17" i="44" s="1"/>
  <c r="Z58" i="44"/>
  <c r="Z68" i="44"/>
  <c r="Z14" i="44" s="1"/>
  <c r="W97" i="44"/>
  <c r="W78" i="44" s="1"/>
  <c r="T14" i="44"/>
  <c r="AA97" i="44"/>
  <c r="Q97" i="44"/>
  <c r="Y97" i="44"/>
  <c r="P38" i="44"/>
  <c r="P37" i="44" s="1"/>
  <c r="X38" i="44"/>
  <c r="X37" i="44" s="1"/>
  <c r="Z38" i="44"/>
  <c r="Z37" i="44" s="1"/>
  <c r="AB37" i="44"/>
  <c r="X14" i="44"/>
  <c r="AB58" i="44"/>
  <c r="X88" i="44"/>
  <c r="N88" i="44" s="1"/>
  <c r="N87" i="44" s="1"/>
  <c r="X58" i="44"/>
  <c r="T58" i="44"/>
  <c r="P58" i="44"/>
  <c r="Y50" i="44"/>
  <c r="U50" i="44"/>
  <c r="AC50" i="44"/>
  <c r="AC14" i="44" s="1"/>
  <c r="Y26" i="44"/>
  <c r="Y18" i="44" s="1"/>
  <c r="Y11" i="44" s="1"/>
  <c r="S113" i="44"/>
  <c r="S111" i="44" s="1"/>
  <c r="O59" i="44"/>
  <c r="AD59" i="44" s="1"/>
  <c r="U38" i="44"/>
  <c r="U37" i="44" s="1"/>
  <c r="AC38" i="44"/>
  <c r="AA38" i="44"/>
  <c r="S38" i="44"/>
  <c r="Q50" i="44"/>
  <c r="O30" i="44"/>
  <c r="U113" i="44"/>
  <c r="U111" i="44" s="1"/>
  <c r="AC122" i="44"/>
  <c r="S26" i="44"/>
  <c r="AA26" i="44"/>
  <c r="AA18" i="44" s="1"/>
  <c r="O95" i="44"/>
  <c r="O94" i="44" s="1"/>
  <c r="O99" i="44"/>
  <c r="AC113" i="44"/>
  <c r="AC111" i="44" s="1"/>
  <c r="W113" i="44"/>
  <c r="W111" i="44" s="1"/>
  <c r="S142" i="44"/>
  <c r="Y68" i="44"/>
  <c r="O72" i="44"/>
  <c r="AA113" i="44"/>
  <c r="AA111" i="44" s="1"/>
  <c r="O131" i="44"/>
  <c r="Q26" i="44"/>
  <c r="W26" i="44"/>
  <c r="U26" i="44"/>
  <c r="U18" i="44" s="1"/>
  <c r="AC26" i="44"/>
  <c r="AC18" i="44" s="1"/>
  <c r="O45" i="44"/>
  <c r="Y38" i="44"/>
  <c r="O54" i="44"/>
  <c r="U106" i="44"/>
  <c r="S106" i="44"/>
  <c r="AA106" i="44"/>
  <c r="O112" i="44"/>
  <c r="AD112" i="44" s="1"/>
  <c r="O130" i="44"/>
  <c r="Y141" i="44"/>
  <c r="O144" i="44"/>
  <c r="O142" i="44" s="1"/>
  <c r="O22" i="44"/>
  <c r="O21" i="44" s="1"/>
  <c r="O24" i="44"/>
  <c r="O16" i="44" s="1"/>
  <c r="AD16" i="44" s="1"/>
  <c r="O67" i="44"/>
  <c r="O66" i="44" s="1"/>
  <c r="O122" i="44"/>
  <c r="O115" i="44"/>
  <c r="O114" i="44" s="1"/>
  <c r="O113" i="44" s="1"/>
  <c r="O147" i="44"/>
  <c r="Q38" i="44"/>
  <c r="O49" i="44"/>
  <c r="S50" i="44"/>
  <c r="S68" i="44"/>
  <c r="O73" i="44"/>
  <c r="Y113" i="44"/>
  <c r="Y111" i="44" s="1"/>
  <c r="U142" i="44"/>
  <c r="U141" i="44" s="1"/>
  <c r="O34" i="44"/>
  <c r="O40" i="44"/>
  <c r="AA50" i="44"/>
  <c r="O56" i="44"/>
  <c r="O63" i="44"/>
  <c r="O62" i="44" s="1"/>
  <c r="U68" i="44"/>
  <c r="O83" i="44"/>
  <c r="O82" i="44" s="1"/>
  <c r="Q113" i="44"/>
  <c r="Q111" i="44" s="1"/>
  <c r="W14" i="44"/>
  <c r="W38" i="44"/>
  <c r="W37" i="44" s="1"/>
  <c r="O36" i="44"/>
  <c r="O77" i="44"/>
  <c r="O80" i="44"/>
  <c r="Q142" i="44"/>
  <c r="Q141" i="44" s="1"/>
  <c r="O154" i="44"/>
  <c r="O151" i="44" s="1"/>
  <c r="O149" i="44" s="1"/>
  <c r="Y151" i="44"/>
  <c r="Y149" i="44" s="1"/>
  <c r="S58" i="44"/>
  <c r="O58" i="44" s="1"/>
  <c r="O86" i="44"/>
  <c r="W141" i="44"/>
  <c r="AA142" i="44"/>
  <c r="U88" i="44"/>
  <c r="O88" i="44" s="1"/>
  <c r="O70" i="44"/>
  <c r="O91" i="44"/>
  <c r="Q151" i="44"/>
  <c r="Q149" i="44" s="1"/>
  <c r="D10" i="44"/>
  <c r="D11" i="44"/>
  <c r="E21" i="44"/>
  <c r="E24" i="44"/>
  <c r="E16" i="44" s="1"/>
  <c r="E26" i="44"/>
  <c r="E29" i="44"/>
  <c r="E33" i="44"/>
  <c r="E36" i="44"/>
  <c r="E38" i="44"/>
  <c r="E40" i="44"/>
  <c r="E44" i="44"/>
  <c r="E48" i="44"/>
  <c r="E50" i="44"/>
  <c r="E53" i="44"/>
  <c r="E57" i="44"/>
  <c r="E59" i="44"/>
  <c r="E68" i="44"/>
  <c r="E82" i="44"/>
  <c r="E87" i="44"/>
  <c r="E94" i="44"/>
  <c r="E99" i="44"/>
  <c r="E97" i="44" s="1"/>
  <c r="E108" i="44"/>
  <c r="E106" i="44" s="1"/>
  <c r="E116" i="44"/>
  <c r="E117" i="44"/>
  <c r="E118" i="44"/>
  <c r="E122" i="44"/>
  <c r="E130" i="44"/>
  <c r="E131" i="44"/>
  <c r="E129" i="44" s="1"/>
  <c r="D142" i="44"/>
  <c r="D141" i="44" s="1"/>
  <c r="E142" i="44"/>
  <c r="E141" i="44" s="1"/>
  <c r="D150" i="44"/>
  <c r="E150" i="44"/>
  <c r="E151" i="44"/>
  <c r="E149" i="44" s="1"/>
  <c r="E153" i="44"/>
  <c r="D154" i="44"/>
  <c r="E156" i="44"/>
  <c r="D157" i="44"/>
  <c r="F158" i="44"/>
  <c r="M157" i="44"/>
  <c r="L157" i="44"/>
  <c r="K157" i="44"/>
  <c r="J157" i="44"/>
  <c r="I157" i="44"/>
  <c r="H157" i="44"/>
  <c r="G157" i="44"/>
  <c r="F155" i="44"/>
  <c r="M154" i="44"/>
  <c r="L154" i="44"/>
  <c r="K154" i="44"/>
  <c r="J154" i="44"/>
  <c r="I154" i="44"/>
  <c r="H154" i="44"/>
  <c r="G154" i="44"/>
  <c r="F152" i="44"/>
  <c r="M150" i="44"/>
  <c r="L150" i="44"/>
  <c r="K150" i="44"/>
  <c r="J150" i="44"/>
  <c r="I150" i="44"/>
  <c r="H150" i="44"/>
  <c r="G150" i="44"/>
  <c r="K147" i="44"/>
  <c r="J147" i="44"/>
  <c r="I147" i="44"/>
  <c r="G147" i="44"/>
  <c r="F146" i="44"/>
  <c r="F145" i="44"/>
  <c r="L144" i="44"/>
  <c r="I144" i="44"/>
  <c r="H144" i="44"/>
  <c r="H142" i="44" s="1"/>
  <c r="G144" i="44"/>
  <c r="F143" i="44"/>
  <c r="M142" i="44"/>
  <c r="K142" i="44"/>
  <c r="J142" i="44"/>
  <c r="F135" i="44"/>
  <c r="F134" i="44"/>
  <c r="F133" i="44"/>
  <c r="F132" i="44"/>
  <c r="M131" i="44"/>
  <c r="M129" i="44" s="1"/>
  <c r="L131" i="44"/>
  <c r="L129" i="44" s="1"/>
  <c r="K131" i="44"/>
  <c r="K129" i="44" s="1"/>
  <c r="J131" i="44"/>
  <c r="J129" i="44" s="1"/>
  <c r="I131" i="44"/>
  <c r="I129" i="44" s="1"/>
  <c r="H131" i="44"/>
  <c r="H129" i="44" s="1"/>
  <c r="G131" i="44"/>
  <c r="G129" i="44" s="1"/>
  <c r="M130" i="44"/>
  <c r="L130" i="44"/>
  <c r="K130" i="44"/>
  <c r="J130" i="44"/>
  <c r="I130" i="44"/>
  <c r="H130" i="44"/>
  <c r="G130" i="44"/>
  <c r="M126" i="44"/>
  <c r="L126" i="44"/>
  <c r="K126" i="44"/>
  <c r="J126" i="44"/>
  <c r="I126" i="44"/>
  <c r="H126" i="44"/>
  <c r="G126" i="44"/>
  <c r="F125" i="44"/>
  <c r="M123" i="44"/>
  <c r="F123" i="44" s="1"/>
  <c r="L122" i="44"/>
  <c r="K122" i="44"/>
  <c r="J122" i="44"/>
  <c r="I122" i="44"/>
  <c r="H122" i="44"/>
  <c r="G122" i="44"/>
  <c r="F119" i="44"/>
  <c r="M118" i="44"/>
  <c r="L118" i="44"/>
  <c r="K118" i="44"/>
  <c r="J118" i="44"/>
  <c r="I118" i="44"/>
  <c r="H118" i="44"/>
  <c r="G118" i="44"/>
  <c r="F117" i="44"/>
  <c r="F116" i="44"/>
  <c r="M115" i="44"/>
  <c r="M114" i="44" s="1"/>
  <c r="L115" i="44"/>
  <c r="L114" i="44" s="1"/>
  <c r="K115" i="44"/>
  <c r="K114" i="44" s="1"/>
  <c r="J115" i="44"/>
  <c r="J114" i="44" s="1"/>
  <c r="I115" i="44"/>
  <c r="I114" i="44" s="1"/>
  <c r="H115" i="44"/>
  <c r="H114" i="44" s="1"/>
  <c r="G115" i="44"/>
  <c r="M112" i="44"/>
  <c r="K112" i="44"/>
  <c r="J112" i="44"/>
  <c r="I112" i="44"/>
  <c r="F110" i="44"/>
  <c r="F109" i="44"/>
  <c r="M108" i="44"/>
  <c r="L108" i="44"/>
  <c r="K108" i="44"/>
  <c r="K106" i="44" s="1"/>
  <c r="J108" i="44"/>
  <c r="J106" i="44" s="1"/>
  <c r="I108" i="44"/>
  <c r="H108" i="44"/>
  <c r="G108" i="44"/>
  <c r="M107" i="44"/>
  <c r="L107" i="44"/>
  <c r="I107" i="44"/>
  <c r="H107" i="44"/>
  <c r="G107" i="44"/>
  <c r="F101" i="44"/>
  <c r="F100" i="44"/>
  <c r="M99" i="44"/>
  <c r="M97" i="44" s="1"/>
  <c r="L99" i="44"/>
  <c r="L97" i="44" s="1"/>
  <c r="K99" i="44"/>
  <c r="K97" i="44" s="1"/>
  <c r="J99" i="44"/>
  <c r="J97" i="44" s="1"/>
  <c r="I99" i="44"/>
  <c r="I97" i="44" s="1"/>
  <c r="H99" i="44"/>
  <c r="H97" i="44" s="1"/>
  <c r="G99" i="44"/>
  <c r="G97" i="44" s="1"/>
  <c r="F98" i="44"/>
  <c r="F96" i="44"/>
  <c r="M95" i="44"/>
  <c r="L95" i="44"/>
  <c r="K95" i="44"/>
  <c r="J95" i="44"/>
  <c r="I95" i="44"/>
  <c r="H95" i="44"/>
  <c r="G95" i="44"/>
  <c r="F93" i="44"/>
  <c r="F92" i="44"/>
  <c r="L91" i="44"/>
  <c r="K91" i="44"/>
  <c r="J91" i="44"/>
  <c r="M88" i="44"/>
  <c r="K88" i="44"/>
  <c r="J88" i="44"/>
  <c r="H88" i="44"/>
  <c r="G88" i="44"/>
  <c r="L86" i="44"/>
  <c r="L88" i="44" s="1"/>
  <c r="I86" i="44"/>
  <c r="F84" i="44"/>
  <c r="M83" i="44"/>
  <c r="L83" i="44"/>
  <c r="K83" i="44"/>
  <c r="J83" i="44"/>
  <c r="H83" i="44"/>
  <c r="G83" i="44"/>
  <c r="F81" i="44"/>
  <c r="M80" i="44"/>
  <c r="L80" i="44"/>
  <c r="K80" i="44"/>
  <c r="J80" i="44"/>
  <c r="L77" i="44"/>
  <c r="K77" i="44"/>
  <c r="J77" i="44"/>
  <c r="I77" i="44"/>
  <c r="H77" i="44"/>
  <c r="G77" i="44"/>
  <c r="F75" i="44"/>
  <c r="M73" i="44"/>
  <c r="G73" i="44"/>
  <c r="M72" i="44"/>
  <c r="L72" i="44"/>
  <c r="J72" i="44"/>
  <c r="G72" i="44"/>
  <c r="K70" i="44"/>
  <c r="K72" i="44" s="1"/>
  <c r="I70" i="44"/>
  <c r="I72" i="44" s="1"/>
  <c r="H70" i="44"/>
  <c r="M68" i="44"/>
  <c r="L68" i="44"/>
  <c r="J68" i="44"/>
  <c r="G68" i="44"/>
  <c r="M67" i="44"/>
  <c r="L67" i="44"/>
  <c r="K67" i="44"/>
  <c r="J67" i="44"/>
  <c r="I67" i="44"/>
  <c r="H67" i="44"/>
  <c r="G67" i="44"/>
  <c r="F65" i="44"/>
  <c r="M63" i="44"/>
  <c r="L63" i="44"/>
  <c r="K63" i="44"/>
  <c r="J63" i="44"/>
  <c r="I63" i="44"/>
  <c r="H63" i="44"/>
  <c r="G63" i="44"/>
  <c r="F61" i="44"/>
  <c r="M59" i="44"/>
  <c r="L59" i="44"/>
  <c r="K59" i="44"/>
  <c r="J59" i="44"/>
  <c r="I59" i="44"/>
  <c r="H59" i="44"/>
  <c r="G59" i="44"/>
  <c r="M56" i="44"/>
  <c r="M58" i="44" s="1"/>
  <c r="L56" i="44"/>
  <c r="L58" i="44" s="1"/>
  <c r="K56" i="44"/>
  <c r="K50" i="44" s="1"/>
  <c r="J56" i="44"/>
  <c r="J58" i="44" s="1"/>
  <c r="I56" i="44"/>
  <c r="H56" i="44"/>
  <c r="H58" i="44" s="1"/>
  <c r="G56" i="44"/>
  <c r="G58" i="44" s="1"/>
  <c r="M54" i="44"/>
  <c r="L54" i="44"/>
  <c r="K54" i="44"/>
  <c r="J54" i="44"/>
  <c r="I54" i="44"/>
  <c r="H54" i="44"/>
  <c r="G54" i="44"/>
  <c r="F52" i="44"/>
  <c r="M49" i="44"/>
  <c r="L49" i="44"/>
  <c r="K49" i="44"/>
  <c r="J49" i="44"/>
  <c r="I49" i="44"/>
  <c r="H49" i="44"/>
  <c r="G49" i="44"/>
  <c r="F47" i="44"/>
  <c r="M45" i="44"/>
  <c r="L45" i="44"/>
  <c r="K45" i="44"/>
  <c r="J45" i="44"/>
  <c r="I45" i="44"/>
  <c r="H45" i="44"/>
  <c r="G45" i="44"/>
  <c r="F43" i="44"/>
  <c r="L41" i="44"/>
  <c r="J41" i="44"/>
  <c r="I41" i="44"/>
  <c r="F39" i="44"/>
  <c r="M36" i="44"/>
  <c r="L36" i="44"/>
  <c r="K36" i="44"/>
  <c r="J36" i="44"/>
  <c r="I36" i="44"/>
  <c r="H36" i="44"/>
  <c r="G36" i="44"/>
  <c r="M34" i="44"/>
  <c r="L34" i="44"/>
  <c r="K34" i="44"/>
  <c r="J34" i="44"/>
  <c r="I34" i="44"/>
  <c r="H34" i="44"/>
  <c r="G34" i="44"/>
  <c r="F32" i="44"/>
  <c r="M30" i="44"/>
  <c r="L30" i="44"/>
  <c r="K30" i="44"/>
  <c r="J30" i="44"/>
  <c r="I30" i="44"/>
  <c r="H30" i="44"/>
  <c r="G30" i="44"/>
  <c r="F28" i="44"/>
  <c r="M24" i="44"/>
  <c r="M16" i="44" s="1"/>
  <c r="L24" i="44"/>
  <c r="K24" i="44"/>
  <c r="K16" i="44" s="1"/>
  <c r="J24" i="44"/>
  <c r="J16" i="44" s="1"/>
  <c r="I24" i="44"/>
  <c r="I16" i="44" s="1"/>
  <c r="H24" i="44"/>
  <c r="H16" i="44" s="1"/>
  <c r="G24" i="44"/>
  <c r="G16" i="44" s="1"/>
  <c r="M22" i="44"/>
  <c r="L22" i="44"/>
  <c r="K22" i="44"/>
  <c r="J22" i="44"/>
  <c r="I22" i="44"/>
  <c r="H22" i="44"/>
  <c r="G22" i="44"/>
  <c r="F20" i="44"/>
  <c r="O50" i="44" l="1"/>
  <c r="AD50" i="44" s="1"/>
  <c r="AD56" i="44"/>
  <c r="N153" i="44"/>
  <c r="AB13" i="44"/>
  <c r="X13" i="44"/>
  <c r="T13" i="44"/>
  <c r="AD129" i="44"/>
  <c r="O68" i="44"/>
  <c r="AD68" i="44" s="1"/>
  <c r="AD70" i="44"/>
  <c r="U78" i="44"/>
  <c r="V13" i="44"/>
  <c r="Y78" i="44"/>
  <c r="S78" i="44"/>
  <c r="N33" i="44"/>
  <c r="Z13" i="44"/>
  <c r="N58" i="44"/>
  <c r="N57" i="44" s="1"/>
  <c r="N25" i="44"/>
  <c r="N18" i="44"/>
  <c r="N17" i="44" s="1"/>
  <c r="X18" i="44"/>
  <c r="X17" i="44" s="1"/>
  <c r="P18" i="44"/>
  <c r="P17" i="44" s="1"/>
  <c r="T18" i="44"/>
  <c r="T17" i="44" s="1"/>
  <c r="O107" i="44"/>
  <c r="N97" i="44"/>
  <c r="N78" i="44" s="1"/>
  <c r="N13" i="44" s="1"/>
  <c r="O97" i="44"/>
  <c r="R18" i="44"/>
  <c r="R17" i="44" s="1"/>
  <c r="AB25" i="44"/>
  <c r="V18" i="44"/>
  <c r="V17" i="44" s="1"/>
  <c r="Y14" i="44"/>
  <c r="AC78" i="44"/>
  <c r="AC13" i="44" s="1"/>
  <c r="Z25" i="44"/>
  <c r="Y10" i="44"/>
  <c r="Y9" i="44" s="1"/>
  <c r="W18" i="44"/>
  <c r="W11" i="44" s="1"/>
  <c r="Y17" i="44"/>
  <c r="O111" i="44"/>
  <c r="AD111" i="44" s="1"/>
  <c r="O106" i="44"/>
  <c r="AC10" i="44"/>
  <c r="AC9" i="44" s="1"/>
  <c r="S18" i="44"/>
  <c r="S10" i="44" s="1"/>
  <c r="S9" i="44" s="1"/>
  <c r="M50" i="44"/>
  <c r="AA14" i="44"/>
  <c r="Q14" i="44"/>
  <c r="Q18" i="44"/>
  <c r="Q17" i="44" s="1"/>
  <c r="S141" i="44"/>
  <c r="F131" i="44"/>
  <c r="F129" i="44" s="1"/>
  <c r="O26" i="44"/>
  <c r="Q78" i="44"/>
  <c r="O141" i="44"/>
  <c r="AC17" i="44"/>
  <c r="AC11" i="44"/>
  <c r="O57" i="44"/>
  <c r="AA78" i="44"/>
  <c r="O87" i="44"/>
  <c r="O38" i="44"/>
  <c r="O37" i="44" s="1"/>
  <c r="U11" i="44"/>
  <c r="U17" i="44"/>
  <c r="U10" i="44"/>
  <c r="U9" i="44" s="1"/>
  <c r="H106" i="44"/>
  <c r="H78" i="44" s="1"/>
  <c r="W13" i="44"/>
  <c r="S14" i="44"/>
  <c r="U14" i="44"/>
  <c r="AA141" i="44"/>
  <c r="AA11" i="44"/>
  <c r="AA17" i="44"/>
  <c r="AA10" i="44"/>
  <c r="AA9" i="44" s="1"/>
  <c r="O71" i="44"/>
  <c r="M106" i="44"/>
  <c r="M78" i="44" s="1"/>
  <c r="F118" i="44"/>
  <c r="L106" i="44"/>
  <c r="L78" i="44" s="1"/>
  <c r="I142" i="44"/>
  <c r="F30" i="44"/>
  <c r="F29" i="44" s="1"/>
  <c r="I38" i="44"/>
  <c r="I37" i="44" s="1"/>
  <c r="L113" i="44"/>
  <c r="L111" i="44" s="1"/>
  <c r="H113" i="44"/>
  <c r="H111" i="44" s="1"/>
  <c r="E37" i="44"/>
  <c r="E78" i="44"/>
  <c r="I68" i="44"/>
  <c r="F86" i="44"/>
  <c r="M122" i="44"/>
  <c r="G142" i="44"/>
  <c r="G141" i="44" s="1"/>
  <c r="L142" i="44"/>
  <c r="E114" i="44"/>
  <c r="E113" i="44" s="1"/>
  <c r="E111" i="44" s="1"/>
  <c r="L16" i="44"/>
  <c r="I106" i="44"/>
  <c r="I78" i="44" s="1"/>
  <c r="F108" i="44"/>
  <c r="I151" i="44"/>
  <c r="I149" i="44" s="1"/>
  <c r="M151" i="44"/>
  <c r="M149" i="44" s="1"/>
  <c r="E14" i="44"/>
  <c r="M26" i="44"/>
  <c r="M25" i="44" s="1"/>
  <c r="L38" i="44"/>
  <c r="J151" i="44"/>
  <c r="J149" i="44" s="1"/>
  <c r="E25" i="44"/>
  <c r="F95" i="44"/>
  <c r="F94" i="44" s="1"/>
  <c r="D151" i="44"/>
  <c r="D149" i="44" s="1"/>
  <c r="J26" i="44"/>
  <c r="J18" i="44" s="1"/>
  <c r="I26" i="44"/>
  <c r="I25" i="44" s="1"/>
  <c r="G38" i="44"/>
  <c r="K38" i="44"/>
  <c r="H38" i="44"/>
  <c r="J50" i="44"/>
  <c r="F63" i="44"/>
  <c r="F67" i="44"/>
  <c r="F66" i="44" s="1"/>
  <c r="F83" i="44"/>
  <c r="F82" i="44" s="1"/>
  <c r="K113" i="44"/>
  <c r="K111" i="44" s="1"/>
  <c r="G151" i="44"/>
  <c r="G149" i="44" s="1"/>
  <c r="K151" i="44"/>
  <c r="K149" i="44" s="1"/>
  <c r="F36" i="44"/>
  <c r="H26" i="44"/>
  <c r="H25" i="44" s="1"/>
  <c r="L26" i="44"/>
  <c r="L25" i="44" s="1"/>
  <c r="H50" i="44"/>
  <c r="L50" i="44"/>
  <c r="F73" i="44"/>
  <c r="J113" i="44"/>
  <c r="J111" i="44" s="1"/>
  <c r="M141" i="44"/>
  <c r="F122" i="44"/>
  <c r="H141" i="44"/>
  <c r="G26" i="44"/>
  <c r="G25" i="44" s="1"/>
  <c r="K26" i="44"/>
  <c r="K25" i="44" s="1"/>
  <c r="J38" i="44"/>
  <c r="J37" i="44" s="1"/>
  <c r="F45" i="44"/>
  <c r="G50" i="44"/>
  <c r="F56" i="44"/>
  <c r="F99" i="44"/>
  <c r="F150" i="44"/>
  <c r="F107" i="44"/>
  <c r="F112" i="44"/>
  <c r="F144" i="44"/>
  <c r="F142" i="44" s="1"/>
  <c r="F77" i="44"/>
  <c r="F76" i="44" s="1"/>
  <c r="F49" i="44"/>
  <c r="M38" i="44"/>
  <c r="G106" i="44"/>
  <c r="I113" i="44"/>
  <c r="I111" i="44" s="1"/>
  <c r="F130" i="44"/>
  <c r="K141" i="44"/>
  <c r="F91" i="44"/>
  <c r="K78" i="44"/>
  <c r="F34" i="44"/>
  <c r="F157" i="44"/>
  <c r="F22" i="44"/>
  <c r="F24" i="44"/>
  <c r="F41" i="44"/>
  <c r="F59" i="44"/>
  <c r="K68" i="44"/>
  <c r="K14" i="44" s="1"/>
  <c r="M113" i="44"/>
  <c r="M111" i="44" s="1"/>
  <c r="F154" i="44"/>
  <c r="I58" i="44"/>
  <c r="I50" i="44"/>
  <c r="F54" i="44"/>
  <c r="K58" i="44"/>
  <c r="H68" i="44"/>
  <c r="H72" i="44"/>
  <c r="F72" i="44" s="1"/>
  <c r="F70" i="44"/>
  <c r="F80" i="44"/>
  <c r="J78" i="44"/>
  <c r="J141" i="44"/>
  <c r="I88" i="44"/>
  <c r="F88" i="44" s="1"/>
  <c r="F115" i="44"/>
  <c r="G114" i="44"/>
  <c r="G113" i="44" s="1"/>
  <c r="G111" i="44" s="1"/>
  <c r="F147" i="44"/>
  <c r="H151" i="44"/>
  <c r="H149" i="44" s="1"/>
  <c r="L151" i="44"/>
  <c r="L149" i="44" s="1"/>
  <c r="AD97" i="44" l="1"/>
  <c r="O78" i="44"/>
  <c r="AD78" i="44" s="1"/>
  <c r="O14" i="44"/>
  <c r="AD14" i="44" s="1"/>
  <c r="Y13" i="44"/>
  <c r="S13" i="44"/>
  <c r="W10" i="44"/>
  <c r="W9" i="44" s="1"/>
  <c r="W17" i="44"/>
  <c r="S17" i="44"/>
  <c r="I18" i="44"/>
  <c r="I11" i="44" s="1"/>
  <c r="Q10" i="44"/>
  <c r="Q9" i="44" s="1"/>
  <c r="H18" i="44"/>
  <c r="H17" i="44" s="1"/>
  <c r="M14" i="44"/>
  <c r="M13" i="44" s="1"/>
  <c r="S11" i="44"/>
  <c r="Q13" i="44"/>
  <c r="O18" i="44"/>
  <c r="O17" i="44" s="1"/>
  <c r="AA13" i="44"/>
  <c r="Q11" i="44"/>
  <c r="E13" i="44"/>
  <c r="J25" i="44"/>
  <c r="I141" i="44"/>
  <c r="U13" i="44"/>
  <c r="J14" i="44"/>
  <c r="M18" i="44"/>
  <c r="M10" i="44" s="1"/>
  <c r="M9" i="44" s="1"/>
  <c r="L141" i="44"/>
  <c r="L14" i="44"/>
  <c r="L13" i="44" s="1"/>
  <c r="F58" i="44"/>
  <c r="F57" i="44" s="1"/>
  <c r="F97" i="44"/>
  <c r="F44" i="44"/>
  <c r="F106" i="44"/>
  <c r="F62" i="44"/>
  <c r="L18" i="44"/>
  <c r="G18" i="44"/>
  <c r="G10" i="44" s="1"/>
  <c r="G9" i="44" s="1"/>
  <c r="F26" i="44"/>
  <c r="G14" i="44"/>
  <c r="F50" i="44"/>
  <c r="G78" i="44"/>
  <c r="F48" i="44"/>
  <c r="K18" i="44"/>
  <c r="K17" i="44" s="1"/>
  <c r="F21" i="44"/>
  <c r="F141" i="44"/>
  <c r="H14" i="44"/>
  <c r="F114" i="44"/>
  <c r="F87" i="44"/>
  <c r="F68" i="44"/>
  <c r="F151" i="44"/>
  <c r="F16" i="44"/>
  <c r="F53" i="44"/>
  <c r="K13" i="44"/>
  <c r="F71" i="44"/>
  <c r="J17" i="44"/>
  <c r="J10" i="44"/>
  <c r="J9" i="44" s="1"/>
  <c r="J11" i="44"/>
  <c r="F38" i="44"/>
  <c r="F40" i="44"/>
  <c r="I14" i="44"/>
  <c r="F33" i="44"/>
  <c r="O13" i="44" l="1"/>
  <c r="AD13" i="44" s="1"/>
  <c r="I10" i="44"/>
  <c r="I9" i="44" s="1"/>
  <c r="I17" i="44"/>
  <c r="H10" i="44"/>
  <c r="H9" i="44" s="1"/>
  <c r="H11" i="44"/>
  <c r="K10" i="44"/>
  <c r="K9" i="44" s="1"/>
  <c r="G17" i="44"/>
  <c r="K11" i="44"/>
  <c r="J13" i="44"/>
  <c r="G11" i="44"/>
  <c r="F18" i="44"/>
  <c r="F17" i="44" s="1"/>
  <c r="F78" i="44"/>
  <c r="L10" i="44"/>
  <c r="L9" i="44" s="1"/>
  <c r="F25" i="44"/>
  <c r="L17" i="44"/>
  <c r="L11" i="44"/>
  <c r="M17" i="44"/>
  <c r="M11" i="44"/>
  <c r="G13" i="44"/>
  <c r="I13" i="44"/>
  <c r="F149" i="44"/>
  <c r="F37" i="44"/>
  <c r="F113" i="44"/>
  <c r="F14" i="44"/>
  <c r="H13" i="44"/>
  <c r="F13" i="44" l="1"/>
  <c r="F111" i="44"/>
</calcChain>
</file>

<file path=xl/sharedStrings.xml><?xml version="1.0" encoding="utf-8"?>
<sst xmlns="http://schemas.openxmlformats.org/spreadsheetml/2006/main" count="463" uniqueCount="167">
  <si>
    <t>ĐVT</t>
  </si>
  <si>
    <t>ha</t>
  </si>
  <si>
    <t>tạ/ha</t>
  </si>
  <si>
    <t xml:space="preserve"> -</t>
  </si>
  <si>
    <t>Tên chỉ tiêu</t>
  </si>
  <si>
    <t>Đăk Kôi</t>
  </si>
  <si>
    <t>1.1</t>
  </si>
  <si>
    <t>1.2</t>
  </si>
  <si>
    <t>A</t>
  </si>
  <si>
    <t>I</t>
  </si>
  <si>
    <t>Diện tích</t>
  </si>
  <si>
    <t>Năng suất</t>
  </si>
  <si>
    <t>Sản lượng</t>
  </si>
  <si>
    <t>Lúa Đông xuân</t>
  </si>
  <si>
    <t>Lạc</t>
  </si>
  <si>
    <t>2.2</t>
  </si>
  <si>
    <t>Khoai lang</t>
  </si>
  <si>
    <t>Sắn</t>
  </si>
  <si>
    <t>Rau các loại</t>
  </si>
  <si>
    <t>Đậu các loại</t>
  </si>
  <si>
    <t>Cây mía</t>
  </si>
  <si>
    <t>Cây cà phê</t>
  </si>
  <si>
    <t>Cây tiêu</t>
  </si>
  <si>
    <t>Cây cao su</t>
  </si>
  <si>
    <t>Cây bời lời</t>
  </si>
  <si>
    <t>Đàn trâu</t>
  </si>
  <si>
    <t>Đàn bò</t>
  </si>
  <si>
    <t>Đàn lợn</t>
  </si>
  <si>
    <t>Đàn dê</t>
  </si>
  <si>
    <t>Đàn gia cầm</t>
  </si>
  <si>
    <t>II</t>
  </si>
  <si>
    <t>B</t>
  </si>
  <si>
    <t>C</t>
  </si>
  <si>
    <t>2.1</t>
  </si>
  <si>
    <t xml:space="preserve"> - </t>
  </si>
  <si>
    <t xml:space="preserve">  - </t>
  </si>
  <si>
    <t>tấn</t>
  </si>
  <si>
    <t>Trong đó: Ruộng</t>
  </si>
  <si>
    <t>Ngô vụ 2</t>
  </si>
  <si>
    <t/>
  </si>
  <si>
    <t>con</t>
  </si>
  <si>
    <t>người</t>
  </si>
  <si>
    <t>Lúa vụ mùa</t>
  </si>
  <si>
    <t>CHĂN NUÔI</t>
  </si>
  <si>
    <t>TRỒNG TRỌT</t>
  </si>
  <si>
    <t>Dân số trung bình</t>
  </si>
  <si>
    <t>Tr.đó: Ngô vụ 1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</si>
  <si>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</si>
  <si>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</si>
  <si>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</si>
  <si>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</si>
  <si>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</si>
  <si>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</si>
  <si>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</si>
  <si>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</si>
  <si>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</si>
  <si>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</si>
  <si>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Lúa cả năm</t>
  </si>
  <si>
    <t>C:\Program Files\Microsoft Office\Office10\xlstart\ÿÿÿÿÿ.</t>
  </si>
  <si>
    <t>Đ.Ruồng</t>
  </si>
  <si>
    <t>T.Trấn</t>
  </si>
  <si>
    <t>Đ.Pne</t>
  </si>
  <si>
    <t>ÿÿÿÿÿ</t>
  </si>
  <si>
    <t>*</t>
  </si>
  <si>
    <t>Lúa ô nà (rẫy)</t>
  </si>
  <si>
    <t>Ngô cả năm</t>
  </si>
  <si>
    <t>Cây thực phẩm:</t>
  </si>
  <si>
    <t>1.2.1</t>
  </si>
  <si>
    <t>1.2.2</t>
  </si>
  <si>
    <t>Cây chất bột lấy củ:</t>
  </si>
  <si>
    <t>BC Tong ket nam 2008 &amp; KH nam 2009.xls</t>
  </si>
  <si>
    <t>Tr.đó: trồng mới:</t>
  </si>
  <si>
    <t>Cây CN ngắn ngày</t>
  </si>
  <si>
    <t>Ngô vụ Đông Xuân</t>
  </si>
  <si>
    <t>Tr đó: DT cho thu hoạch</t>
  </si>
  <si>
    <t>CÂY KHÁC</t>
  </si>
  <si>
    <t>Tr.đó: Thóc</t>
  </si>
  <si>
    <t>Đàn gia súc</t>
  </si>
  <si>
    <t>THỦY SẢN</t>
  </si>
  <si>
    <t>Tổng sản lượng thủy sản</t>
  </si>
  <si>
    <t>Diện tích nuôi ao hồ nhỏ</t>
  </si>
  <si>
    <t>Diện tích nuôi ao hồ lớn</t>
  </si>
  <si>
    <t>Tr.đó: Trồng mới</t>
  </si>
  <si>
    <t>DT cho thu hoạch</t>
  </si>
  <si>
    <t>Sản lượng nuôi trồng TS</t>
  </si>
  <si>
    <t>Đ.Tơ Lung</t>
  </si>
  <si>
    <t>Đ.Tơ Re</t>
  </si>
  <si>
    <t>T. Lập</t>
  </si>
  <si>
    <t>Tổng SL LT có hạt (lúa, ngô)</t>
  </si>
  <si>
    <t>2.3</t>
  </si>
  <si>
    <t>3.1</t>
  </si>
  <si>
    <t>3.2</t>
  </si>
  <si>
    <t>4.1</t>
  </si>
  <si>
    <t>4.2</t>
  </si>
  <si>
    <t>5.1</t>
  </si>
  <si>
    <t>5.2</t>
  </si>
  <si>
    <t>III</t>
  </si>
  <si>
    <t>Cây Mắc ca</t>
  </si>
  <si>
    <t>Cụ thể các xã, thị trấn</t>
  </si>
  <si>
    <t>Bình quân lương thực đầu người</t>
  </si>
  <si>
    <t>Dân số</t>
  </si>
  <si>
    <t>Kg/người/năm</t>
  </si>
  <si>
    <t xml:space="preserve">Cây ăn quả </t>
  </si>
  <si>
    <t>Diện tích trồng cũ</t>
  </si>
  <si>
    <t>DT trồng cũ</t>
  </si>
  <si>
    <t xml:space="preserve">Diện tích trong dân </t>
  </si>
  <si>
    <t>Diện tích của DN</t>
  </si>
  <si>
    <t>Trồng rừng</t>
  </si>
  <si>
    <t>Trồng cây phân tán</t>
  </si>
  <si>
    <t>Cây</t>
  </si>
  <si>
    <t>Ban QLRPH Kon Rẫy</t>
  </si>
  <si>
    <t>Các xã, thị trấn</t>
  </si>
  <si>
    <t>IV</t>
  </si>
  <si>
    <t>V</t>
  </si>
  <si>
    <t>VI</t>
  </si>
  <si>
    <t>+</t>
  </si>
  <si>
    <t>-</t>
  </si>
  <si>
    <t xml:space="preserve">BQL rừng phòng hộ </t>
  </si>
  <si>
    <t>DT GT CÂY HN</t>
  </si>
  <si>
    <t xml:space="preserve">C.ty TNHH MTV LN Kon Rẫy </t>
  </si>
  <si>
    <t>Diện tích nuôi trồng TS</t>
  </si>
  <si>
    <t>DT CÂY LÂU NĂM</t>
  </si>
  <si>
    <t>Khoanh nuôi rừng</t>
  </si>
  <si>
    <t xml:space="preserve">C.ty TNHH LN Kon Rẫy </t>
  </si>
  <si>
    <t>DT trồng mới, Tr. đó:</t>
  </si>
  <si>
    <t>DT trồng mới của DN</t>
  </si>
  <si>
    <t>DT trồng mới của dân</t>
  </si>
  <si>
    <t>Tr.đó: C.ty, Doanh nghiệp</t>
  </si>
  <si>
    <t>S.lượng khai thác TN</t>
  </si>
  <si>
    <t>DT trồng mới</t>
  </si>
  <si>
    <t>Dược liệu lâu năm</t>
  </si>
  <si>
    <t>Cây dược liệu</t>
  </si>
  <si>
    <t>Trồng cũ</t>
  </si>
  <si>
    <t>Trồng mới</t>
  </si>
  <si>
    <t>TỔNG DT GT (I+II+VI)</t>
  </si>
  <si>
    <t>TH năm 2022</t>
  </si>
  <si>
    <t>KH năm 2023</t>
  </si>
  <si>
    <t>Dược liệu hàng năm (trồng mới)</t>
  </si>
  <si>
    <t>Dược liệu khoanh nuôi (tiếp tục bảo vệ)</t>
  </si>
  <si>
    <t>KH năm 2024</t>
  </si>
  <si>
    <t xml:space="preserve"> TH năm 2023</t>
  </si>
  <si>
    <t>Ghi chú</t>
  </si>
  <si>
    <t>KH ĐK 2024</t>
  </si>
  <si>
    <t>KH ĐR 2024</t>
  </si>
  <si>
    <t>KH ĐTL 2024</t>
  </si>
  <si>
    <t>KH ĐTR 2024</t>
  </si>
  <si>
    <t>KH TL 2024</t>
  </si>
  <si>
    <t>KH TT 2024</t>
  </si>
  <si>
    <t>KH Đpne 2024</t>
  </si>
  <si>
    <t xml:space="preserve"> +</t>
  </si>
  <si>
    <t>Sầu riêng</t>
  </si>
  <si>
    <t>Chuối</t>
  </si>
  <si>
    <t>Chanh dây</t>
  </si>
  <si>
    <t>Cây ăn quả khác</t>
  </si>
  <si>
    <t>a</t>
  </si>
  <si>
    <t>Dược liệu hàng năm đến cuối năm 2023</t>
  </si>
  <si>
    <t>b</t>
  </si>
  <si>
    <t>Dược liệu hàng năm trồng mới năm 2024</t>
  </si>
  <si>
    <t>c</t>
  </si>
  <si>
    <t>Cây dược liệu lâu năm</t>
  </si>
  <si>
    <t>Trong đó: DT trồng mới</t>
  </si>
  <si>
    <t>d</t>
  </si>
  <si>
    <t>TH so với KH (%)</t>
  </si>
  <si>
    <t>TT</t>
  </si>
  <si>
    <t>BIỂU TỔNG HỢP THỰC HIỆN CÁC CHỈ TIÊU SXNN ƯỚC THỰC HIỆN THÁNG 04 NĂM 2024</t>
  </si>
  <si>
    <t xml:space="preserve"> Ước TH tháng 4/2024</t>
  </si>
  <si>
    <t>(Kèm theo Báo cáo số            /BC-UBND ngày   /4/2024 của UBND huyện Kon Rẫy)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</si>
</sst>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;[Red]\-&quot;$&quot;#,##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&quot;\&quot;#,##0;[Red]&quot;\&quot;\-#,##0"/>
    <numFmt numFmtId="171" formatCode="&quot;\&quot;#,##0.00;[Red]&quot;\&quot;\-#,##0.00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_-* #,##0\ _F_-;\-* #,##0\ _F_-;_-* &quot;-&quot;\ _F_-;_-@_-"/>
    <numFmt numFmtId="176" formatCode="_ * #,##0_ ;_ * \-#,##0_ ;_ * &quot;-&quot;_ ;_ @_ "/>
    <numFmt numFmtId="177" formatCode="0.00_)"/>
    <numFmt numFmtId="178" formatCode="\(0\)"/>
    <numFmt numFmtId="179" formatCode="_(* #,##0.0_);_(* \(#,##0.0\);_(* &quot;-&quot;??_);_(@_)"/>
  </numFmts>
  <fonts count="3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0"/>
      <name val="VNbook-Antiqua"/>
      <family val="2"/>
    </font>
    <font>
      <sz val="12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0" borderId="0" applyNumberFormat="0" applyFont="0" applyFill="0" applyAlignment="0"/>
    <xf numFmtId="177" fontId="8" fillId="0" borderId="0"/>
    <xf numFmtId="0" fontId="1" fillId="0" borderId="0"/>
    <xf numFmtId="0" fontId="2" fillId="0" borderId="3" applyNumberFormat="0" applyFon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/>
    <xf numFmtId="0" fontId="2" fillId="0" borderId="0"/>
    <xf numFmtId="0" fontId="12" fillId="0" borderId="0" applyProtection="0"/>
    <xf numFmtId="168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13" fillId="0" borderId="0" applyFont="0" applyFill="0" applyBorder="0" applyAlignment="0" applyProtection="0"/>
  </cellStyleXfs>
  <cellXfs count="183">
    <xf numFmtId="0" fontId="0" fillId="0" borderId="0" xfId="0"/>
    <xf numFmtId="0" fontId="20" fillId="2" borderId="0" xfId="33" applyFont="1" applyFill="1"/>
    <xf numFmtId="0" fontId="2" fillId="0" borderId="0" xfId="33"/>
    <xf numFmtId="0" fontId="2" fillId="2" borderId="0" xfId="33" applyFill="1"/>
    <xf numFmtId="0" fontId="2" fillId="3" borderId="4" xfId="33" applyFill="1" applyBorder="1"/>
    <xf numFmtId="0" fontId="21" fillId="4" borderId="5" xfId="33" applyFont="1" applyFill="1" applyBorder="1" applyAlignment="1">
      <alignment horizontal="center"/>
    </xf>
    <xf numFmtId="0" fontId="22" fillId="5" borderId="6" xfId="33" applyFont="1" applyFill="1" applyBorder="1" applyAlignment="1">
      <alignment horizontal="center"/>
    </xf>
    <xf numFmtId="0" fontId="21" fillId="4" borderId="6" xfId="33" applyFont="1" applyFill="1" applyBorder="1" applyAlignment="1">
      <alignment horizontal="center"/>
    </xf>
    <xf numFmtId="0" fontId="21" fillId="4" borderId="7" xfId="33" applyFont="1" applyFill="1" applyBorder="1" applyAlignment="1">
      <alignment horizontal="center"/>
    </xf>
    <xf numFmtId="0" fontId="2" fillId="3" borderId="8" xfId="33" applyFill="1" applyBorder="1"/>
    <xf numFmtId="0" fontId="2" fillId="3" borderId="9" xfId="33" applyFill="1" applyBorder="1"/>
    <xf numFmtId="0" fontId="24" fillId="6" borderId="0" xfId="17" applyFont="1" applyFill="1"/>
    <xf numFmtId="0" fontId="25" fillId="6" borderId="0" xfId="17" applyFont="1" applyFill="1"/>
    <xf numFmtId="0" fontId="23" fillId="6" borderId="0" xfId="17" applyFont="1" applyFill="1"/>
    <xf numFmtId="0" fontId="28" fillId="6" borderId="0" xfId="17" applyFont="1" applyFill="1"/>
    <xf numFmtId="0" fontId="24" fillId="6" borderId="0" xfId="17" applyFont="1" applyFill="1" applyAlignment="1">
      <alignment wrapText="1"/>
    </xf>
    <xf numFmtId="0" fontId="24" fillId="6" borderId="0" xfId="17" applyFont="1" applyFill="1" applyAlignment="1">
      <alignment horizontal="center"/>
    </xf>
    <xf numFmtId="0" fontId="27" fillId="6" borderId="0" xfId="17" applyFont="1" applyFill="1" applyAlignment="1">
      <alignment horizontal="left" wrapText="1"/>
    </xf>
    <xf numFmtId="0" fontId="24" fillId="6" borderId="0" xfId="17" applyFont="1" applyFill="1" applyAlignment="1">
      <alignment horizontal="center" wrapText="1"/>
    </xf>
    <xf numFmtId="0" fontId="26" fillId="6" borderId="0" xfId="17" applyFont="1" applyFill="1" applyBorder="1" applyAlignment="1">
      <alignment horizontal="center" vertical="center"/>
    </xf>
    <xf numFmtId="0" fontId="30" fillId="7" borderId="8" xfId="17" applyFont="1" applyFill="1" applyBorder="1" applyAlignment="1">
      <alignment horizontal="center" vertical="center" wrapText="1"/>
    </xf>
    <xf numFmtId="0" fontId="30" fillId="6" borderId="10" xfId="17" applyFont="1" applyFill="1" applyBorder="1" applyAlignment="1">
      <alignment horizontal="center" vertical="center" wrapText="1"/>
    </xf>
    <xf numFmtId="0" fontId="30" fillId="6" borderId="10" xfId="17" applyFont="1" applyFill="1" applyBorder="1" applyAlignment="1">
      <alignment horizontal="center" vertical="center"/>
    </xf>
    <xf numFmtId="0" fontId="30" fillId="7" borderId="18" xfId="17" applyFont="1" applyFill="1" applyBorder="1" applyAlignment="1">
      <alignment horizontal="center" vertical="center" wrapText="1"/>
    </xf>
    <xf numFmtId="178" fontId="31" fillId="6" borderId="10" xfId="17" applyNumberFormat="1" applyFont="1" applyFill="1" applyBorder="1" applyAlignment="1">
      <alignment horizontal="center" vertical="center"/>
    </xf>
    <xf numFmtId="178" fontId="31" fillId="7" borderId="10" xfId="17" applyNumberFormat="1" applyFont="1" applyFill="1" applyBorder="1" applyAlignment="1">
      <alignment horizontal="center" vertical="center"/>
    </xf>
    <xf numFmtId="0" fontId="32" fillId="6" borderId="11" xfId="17" applyFont="1" applyFill="1" applyBorder="1" applyAlignment="1">
      <alignment horizontal="left" vertical="center" wrapText="1"/>
    </xf>
    <xf numFmtId="0" fontId="32" fillId="6" borderId="11" xfId="17" applyFont="1" applyFill="1" applyBorder="1" applyAlignment="1">
      <alignment horizontal="center" vertical="center" wrapText="1"/>
    </xf>
    <xf numFmtId="164" fontId="32" fillId="6" borderId="11" xfId="1" applyNumberFormat="1" applyFont="1" applyFill="1" applyBorder="1"/>
    <xf numFmtId="164" fontId="32" fillId="6" borderId="11" xfId="1" applyNumberFormat="1" applyFont="1" applyFill="1" applyBorder="1" applyAlignment="1">
      <alignment horizontal="right"/>
    </xf>
    <xf numFmtId="164" fontId="32" fillId="7" borderId="11" xfId="1" applyNumberFormat="1" applyFont="1" applyFill="1" applyBorder="1"/>
    <xf numFmtId="164" fontId="32" fillId="7" borderId="11" xfId="1" applyNumberFormat="1" applyFont="1" applyFill="1" applyBorder="1" applyAlignment="1">
      <alignment horizontal="right"/>
    </xf>
    <xf numFmtId="0" fontId="32" fillId="6" borderId="12" xfId="17" applyFont="1" applyFill="1" applyBorder="1" applyAlignment="1">
      <alignment horizontal="left" vertical="center" wrapText="1"/>
    </xf>
    <xf numFmtId="0" fontId="33" fillId="6" borderId="12" xfId="17" applyFont="1" applyFill="1" applyBorder="1" applyAlignment="1">
      <alignment horizontal="center" vertical="center" wrapText="1"/>
    </xf>
    <xf numFmtId="43" fontId="32" fillId="6" borderId="12" xfId="1" applyFont="1" applyFill="1" applyBorder="1"/>
    <xf numFmtId="43" fontId="32" fillId="7" borderId="12" xfId="1" applyFont="1" applyFill="1" applyBorder="1"/>
    <xf numFmtId="0" fontId="32" fillId="6" borderId="15" xfId="17" applyFont="1" applyFill="1" applyBorder="1" applyAlignment="1">
      <alignment horizontal="left" vertical="center" wrapText="1"/>
    </xf>
    <xf numFmtId="0" fontId="33" fillId="6" borderId="15" xfId="17" applyFont="1" applyFill="1" applyBorder="1" applyAlignment="1">
      <alignment horizontal="center" vertical="center" wrapText="1"/>
    </xf>
    <xf numFmtId="3" fontId="32" fillId="6" borderId="15" xfId="17" applyNumberFormat="1" applyFont="1" applyFill="1" applyBorder="1"/>
    <xf numFmtId="3" fontId="32" fillId="7" borderId="15" xfId="17" applyNumberFormat="1" applyFont="1" applyFill="1" applyBorder="1"/>
    <xf numFmtId="0" fontId="34" fillId="6" borderId="16" xfId="17" applyFont="1" applyFill="1" applyBorder="1" applyAlignment="1">
      <alignment horizontal="left" vertical="center" wrapText="1"/>
    </xf>
    <xf numFmtId="0" fontId="33" fillId="6" borderId="16" xfId="17" applyFont="1" applyFill="1" applyBorder="1" applyAlignment="1">
      <alignment horizontal="center" vertical="center" wrapText="1"/>
    </xf>
    <xf numFmtId="3" fontId="34" fillId="6" borderId="16" xfId="17" applyNumberFormat="1" applyFont="1" applyFill="1" applyBorder="1"/>
    <xf numFmtId="3" fontId="34" fillId="7" borderId="16" xfId="17" applyNumberFormat="1" applyFont="1" applyFill="1" applyBorder="1"/>
    <xf numFmtId="0" fontId="30" fillId="6" borderId="17" xfId="17" applyFont="1" applyFill="1" applyBorder="1" applyAlignment="1">
      <alignment horizontal="center" vertical="center"/>
    </xf>
    <xf numFmtId="0" fontId="35" fillId="6" borderId="17" xfId="17" applyFont="1" applyFill="1" applyBorder="1" applyAlignment="1">
      <alignment horizontal="left" vertical="center" wrapText="1"/>
    </xf>
    <xf numFmtId="0" fontId="36" fillId="6" borderId="17" xfId="17" applyFont="1" applyFill="1" applyBorder="1" applyAlignment="1">
      <alignment horizontal="center" vertical="center" wrapText="1"/>
    </xf>
    <xf numFmtId="3" fontId="36" fillId="6" borderId="17" xfId="17" applyNumberFormat="1" applyFont="1" applyFill="1" applyBorder="1" applyAlignment="1">
      <alignment vertical="center" wrapText="1"/>
    </xf>
    <xf numFmtId="4" fontId="36" fillId="6" borderId="17" xfId="17" applyNumberFormat="1" applyFont="1" applyFill="1" applyBorder="1" applyAlignment="1">
      <alignment vertical="center" wrapText="1"/>
    </xf>
    <xf numFmtId="165" fontId="36" fillId="6" borderId="17" xfId="17" applyNumberFormat="1" applyFont="1" applyFill="1" applyBorder="1" applyAlignment="1">
      <alignment vertical="center" wrapText="1"/>
    </xf>
    <xf numFmtId="4" fontId="36" fillId="7" borderId="17" xfId="17" applyNumberFormat="1" applyFont="1" applyFill="1" applyBorder="1" applyAlignment="1">
      <alignment vertical="center" wrapText="1"/>
    </xf>
    <xf numFmtId="3" fontId="36" fillId="7" borderId="17" xfId="17" applyNumberFormat="1" applyFont="1" applyFill="1" applyBorder="1" applyAlignment="1">
      <alignment vertical="center" wrapText="1"/>
    </xf>
    <xf numFmtId="0" fontId="36" fillId="6" borderId="15" xfId="17" applyFont="1" applyFill="1" applyBorder="1" applyAlignment="1">
      <alignment horizontal="center" vertical="center"/>
    </xf>
    <xf numFmtId="0" fontId="30" fillId="6" borderId="15" xfId="17" applyFont="1" applyFill="1" applyBorder="1" applyAlignment="1">
      <alignment horizontal="left" vertical="center" wrapText="1"/>
    </xf>
    <xf numFmtId="0" fontId="30" fillId="6" borderId="15" xfId="17" applyFont="1" applyFill="1" applyBorder="1" applyAlignment="1">
      <alignment horizontal="center" vertical="center" wrapText="1"/>
    </xf>
    <xf numFmtId="165" fontId="30" fillId="6" borderId="15" xfId="17" applyNumberFormat="1" applyFont="1" applyFill="1" applyBorder="1"/>
    <xf numFmtId="165" fontId="30" fillId="6" borderId="15" xfId="1" applyNumberFormat="1" applyFont="1" applyFill="1" applyBorder="1" applyAlignment="1"/>
    <xf numFmtId="165" fontId="30" fillId="7" borderId="15" xfId="1" applyNumberFormat="1" applyFont="1" applyFill="1" applyBorder="1" applyAlignment="1"/>
    <xf numFmtId="0" fontId="30" fillId="6" borderId="15" xfId="17" applyFont="1" applyFill="1" applyBorder="1" applyAlignment="1">
      <alignment horizontal="center" vertical="center"/>
    </xf>
    <xf numFmtId="0" fontId="36" fillId="6" borderId="15" xfId="17" applyFont="1" applyFill="1" applyBorder="1" applyAlignment="1">
      <alignment horizontal="center" vertical="center" wrapText="1"/>
    </xf>
    <xf numFmtId="3" fontId="32" fillId="7" borderId="11" xfId="17" applyNumberFormat="1" applyFont="1" applyFill="1" applyBorder="1"/>
    <xf numFmtId="0" fontId="36" fillId="6" borderId="15" xfId="17" applyFont="1" applyFill="1" applyBorder="1" applyAlignment="1">
      <alignment horizontal="left" vertical="center" wrapText="1"/>
    </xf>
    <xf numFmtId="165" fontId="36" fillId="6" borderId="15" xfId="17" applyNumberFormat="1" applyFont="1" applyFill="1" applyBorder="1" applyAlignment="1">
      <alignment vertical="center" wrapText="1"/>
    </xf>
    <xf numFmtId="165" fontId="36" fillId="6" borderId="15" xfId="1" applyNumberFormat="1" applyFont="1" applyFill="1" applyBorder="1" applyAlignment="1"/>
    <xf numFmtId="165" fontId="36" fillId="6" borderId="15" xfId="17" applyNumberFormat="1" applyFont="1" applyFill="1" applyBorder="1" applyAlignment="1">
      <alignment vertical="center"/>
    </xf>
    <xf numFmtId="165" fontId="36" fillId="7" borderId="15" xfId="1" applyNumberFormat="1" applyFont="1" applyFill="1" applyBorder="1" applyAlignment="1"/>
    <xf numFmtId="179" fontId="33" fillId="7" borderId="11" xfId="17" applyNumberFormat="1" applyFont="1" applyFill="1" applyBorder="1" applyAlignment="1">
      <alignment vertical="center" wrapText="1"/>
    </xf>
    <xf numFmtId="179" fontId="33" fillId="7" borderId="11" xfId="17" applyNumberFormat="1" applyFont="1" applyFill="1" applyBorder="1" applyAlignment="1">
      <alignment vertical="center"/>
    </xf>
    <xf numFmtId="165" fontId="36" fillId="6" borderId="15" xfId="17" applyNumberFormat="1" applyFont="1" applyFill="1" applyBorder="1"/>
    <xf numFmtId="164" fontId="33" fillId="7" borderId="11" xfId="17" applyNumberFormat="1" applyFont="1" applyFill="1" applyBorder="1"/>
    <xf numFmtId="0" fontId="37" fillId="6" borderId="15" xfId="17" applyFont="1" applyFill="1" applyBorder="1" applyAlignment="1">
      <alignment horizontal="center" vertical="center"/>
    </xf>
    <xf numFmtId="0" fontId="37" fillId="6" borderId="15" xfId="17" applyFont="1" applyFill="1" applyBorder="1" applyAlignment="1">
      <alignment horizontal="left" vertical="center" wrapText="1"/>
    </xf>
    <xf numFmtId="165" fontId="36" fillId="6" borderId="15" xfId="1" applyNumberFormat="1" applyFont="1" applyFill="1" applyBorder="1" applyAlignment="1">
      <alignment vertical="center"/>
    </xf>
    <xf numFmtId="165" fontId="36" fillId="7" borderId="15" xfId="17" applyNumberFormat="1" applyFont="1" applyFill="1" applyBorder="1"/>
    <xf numFmtId="3" fontId="33" fillId="7" borderId="11" xfId="17" applyNumberFormat="1" applyFont="1" applyFill="1" applyBorder="1" applyAlignment="1">
      <alignment vertical="center" wrapText="1"/>
    </xf>
    <xf numFmtId="165" fontId="33" fillId="7" borderId="11" xfId="17" applyNumberFormat="1" applyFont="1" applyFill="1" applyBorder="1"/>
    <xf numFmtId="3" fontId="33" fillId="7" borderId="11" xfId="17" applyNumberFormat="1" applyFont="1" applyFill="1" applyBorder="1"/>
    <xf numFmtId="164" fontId="33" fillId="7" borderId="11" xfId="17" applyNumberFormat="1" applyFont="1" applyFill="1" applyBorder="1" applyAlignment="1">
      <alignment vertical="center" wrapText="1"/>
    </xf>
    <xf numFmtId="164" fontId="33" fillId="7" borderId="11" xfId="17" applyNumberFormat="1" applyFont="1" applyFill="1" applyBorder="1" applyAlignment="1">
      <alignment vertical="center"/>
    </xf>
    <xf numFmtId="0" fontId="38" fillId="6" borderId="15" xfId="17" applyFont="1" applyFill="1" applyBorder="1" applyAlignment="1">
      <alignment horizontal="left" vertical="center" wrapText="1"/>
    </xf>
    <xf numFmtId="179" fontId="33" fillId="7" borderId="11" xfId="17" applyNumberFormat="1" applyFont="1" applyFill="1" applyBorder="1"/>
    <xf numFmtId="0" fontId="38" fillId="6" borderId="15" xfId="17" applyFont="1" applyFill="1" applyBorder="1" applyAlignment="1">
      <alignment horizontal="center" vertical="center"/>
    </xf>
    <xf numFmtId="0" fontId="38" fillId="6" borderId="15" xfId="17" applyFont="1" applyFill="1" applyBorder="1" applyAlignment="1">
      <alignment horizontal="center" vertical="center" wrapText="1"/>
    </xf>
    <xf numFmtId="165" fontId="38" fillId="6" borderId="15" xfId="17" applyNumberFormat="1" applyFont="1" applyFill="1" applyBorder="1"/>
    <xf numFmtId="164" fontId="31" fillId="7" borderId="11" xfId="17" applyNumberFormat="1" applyFont="1" applyFill="1" applyBorder="1"/>
    <xf numFmtId="43" fontId="38" fillId="6" borderId="15" xfId="17" applyNumberFormat="1" applyFont="1" applyFill="1" applyBorder="1" applyAlignment="1">
      <alignment horizontal="center" vertical="center" wrapText="1"/>
    </xf>
    <xf numFmtId="43" fontId="32" fillId="7" borderId="11" xfId="1" applyFont="1" applyFill="1" applyBorder="1"/>
    <xf numFmtId="4" fontId="33" fillId="7" borderId="11" xfId="17" applyNumberFormat="1" applyFont="1" applyFill="1" applyBorder="1"/>
    <xf numFmtId="179" fontId="32" fillId="7" borderId="11" xfId="1" applyNumberFormat="1" applyFont="1" applyFill="1" applyBorder="1"/>
    <xf numFmtId="4" fontId="36" fillId="6" borderId="15" xfId="17" applyNumberFormat="1" applyFont="1" applyFill="1" applyBorder="1"/>
    <xf numFmtId="164" fontId="33" fillId="7" borderId="11" xfId="1" applyNumberFormat="1" applyFont="1" applyFill="1" applyBorder="1"/>
    <xf numFmtId="3" fontId="31" fillId="7" borderId="11" xfId="17" applyNumberFormat="1" applyFont="1" applyFill="1" applyBorder="1"/>
    <xf numFmtId="165" fontId="30" fillId="6" borderId="15" xfId="0" applyNumberFormat="1" applyFont="1" applyFill="1" applyBorder="1"/>
    <xf numFmtId="165" fontId="30" fillId="7" borderId="15" xfId="0" applyNumberFormat="1" applyFont="1" applyFill="1" applyBorder="1"/>
    <xf numFmtId="4" fontId="38" fillId="6" borderId="15" xfId="17" applyNumberFormat="1" applyFont="1" applyFill="1" applyBorder="1" applyAlignment="1">
      <alignment horizontal="center" vertical="center" wrapText="1"/>
    </xf>
    <xf numFmtId="0" fontId="37" fillId="6" borderId="15" xfId="17" applyFont="1" applyFill="1" applyBorder="1" applyAlignment="1">
      <alignment horizontal="center" vertical="center" wrapText="1"/>
    </xf>
    <xf numFmtId="165" fontId="37" fillId="6" borderId="15" xfId="17" applyNumberFormat="1" applyFont="1" applyFill="1" applyBorder="1"/>
    <xf numFmtId="165" fontId="36" fillId="6" borderId="11" xfId="17" applyNumberFormat="1" applyFont="1" applyFill="1" applyBorder="1"/>
    <xf numFmtId="0" fontId="36" fillId="6" borderId="15" xfId="17" quotePrefix="1" applyFont="1" applyFill="1" applyBorder="1" applyAlignment="1">
      <alignment horizontal="center" vertical="center"/>
    </xf>
    <xf numFmtId="0" fontId="33" fillId="6" borderId="11" xfId="17" quotePrefix="1" applyFont="1" applyFill="1" applyBorder="1" applyAlignment="1">
      <alignment horizontal="center" vertical="center"/>
    </xf>
    <xf numFmtId="0" fontId="31" fillId="6" borderId="11" xfId="17" applyFont="1" applyFill="1" applyBorder="1" applyAlignment="1">
      <alignment horizontal="left" vertical="center" wrapText="1"/>
    </xf>
    <xf numFmtId="165" fontId="38" fillId="6" borderId="11" xfId="17" applyNumberFormat="1" applyFont="1" applyFill="1" applyBorder="1"/>
    <xf numFmtId="4" fontId="38" fillId="7" borderId="11" xfId="17" applyNumberFormat="1" applyFont="1" applyFill="1" applyBorder="1"/>
    <xf numFmtId="4" fontId="38" fillId="6" borderId="11" xfId="17" applyNumberFormat="1" applyFont="1" applyFill="1" applyBorder="1"/>
    <xf numFmtId="0" fontId="38" fillId="6" borderId="15" xfId="17" quotePrefix="1" applyFont="1" applyFill="1" applyBorder="1" applyAlignment="1">
      <alignment horizontal="center" vertical="center"/>
    </xf>
    <xf numFmtId="165" fontId="37" fillId="6" borderId="15" xfId="0" applyNumberFormat="1" applyFont="1" applyFill="1" applyBorder="1"/>
    <xf numFmtId="43" fontId="32" fillId="7" borderId="11" xfId="17" applyNumberFormat="1" applyFont="1" applyFill="1" applyBorder="1"/>
    <xf numFmtId="4" fontId="30" fillId="6" borderId="15" xfId="1" applyNumberFormat="1" applyFont="1" applyFill="1" applyBorder="1" applyAlignment="1"/>
    <xf numFmtId="165" fontId="30" fillId="6" borderId="15" xfId="1" applyNumberFormat="1" applyFont="1" applyFill="1" applyBorder="1" applyAlignment="1">
      <alignment wrapText="1"/>
    </xf>
    <xf numFmtId="165" fontId="30" fillId="6" borderId="15" xfId="1" applyNumberFormat="1" applyFont="1" applyFill="1" applyBorder="1" applyAlignment="1">
      <alignment vertical="center"/>
    </xf>
    <xf numFmtId="165" fontId="30" fillId="6" borderId="15" xfId="17" applyNumberFormat="1" applyFont="1" applyFill="1" applyBorder="1" applyAlignment="1">
      <alignment vertical="center" wrapText="1"/>
    </xf>
    <xf numFmtId="165" fontId="38" fillId="6" borderId="15" xfId="17" applyNumberFormat="1" applyFont="1" applyFill="1" applyBorder="1" applyAlignment="1">
      <alignment vertical="center" wrapText="1"/>
    </xf>
    <xf numFmtId="165" fontId="38" fillId="6" borderId="15" xfId="0" applyNumberFormat="1" applyFont="1" applyFill="1" applyBorder="1"/>
    <xf numFmtId="165" fontId="38" fillId="6" borderId="15" xfId="1" applyNumberFormat="1" applyFont="1" applyFill="1" applyBorder="1" applyAlignment="1"/>
    <xf numFmtId="165" fontId="38" fillId="7" borderId="15" xfId="1" applyNumberFormat="1" applyFont="1" applyFill="1" applyBorder="1" applyAlignment="1"/>
    <xf numFmtId="165" fontId="38" fillId="7" borderId="15" xfId="0" applyNumberFormat="1" applyFont="1" applyFill="1" applyBorder="1"/>
    <xf numFmtId="165" fontId="36" fillId="6" borderId="15" xfId="1" applyNumberFormat="1" applyFont="1" applyFill="1" applyBorder="1" applyAlignment="1">
      <alignment wrapText="1"/>
    </xf>
    <xf numFmtId="0" fontId="33" fillId="6" borderId="11" xfId="17" applyFont="1" applyFill="1" applyBorder="1" applyAlignment="1">
      <alignment horizontal="center" vertical="center"/>
    </xf>
    <xf numFmtId="0" fontId="33" fillId="6" borderId="11" xfId="17" applyFont="1" applyFill="1" applyBorder="1" applyAlignment="1">
      <alignment horizontal="left" vertical="center" wrapText="1"/>
    </xf>
    <xf numFmtId="0" fontId="33" fillId="6" borderId="11" xfId="17" applyFont="1" applyFill="1" applyBorder="1" applyAlignment="1">
      <alignment horizontal="center" vertical="center" wrapText="1"/>
    </xf>
    <xf numFmtId="165" fontId="33" fillId="7" borderId="11" xfId="1" applyNumberFormat="1" applyFont="1" applyFill="1" applyBorder="1" applyAlignment="1">
      <alignment horizontal="right" wrapText="1"/>
    </xf>
    <xf numFmtId="165" fontId="33" fillId="7" borderId="11" xfId="0" applyNumberFormat="1" applyFont="1" applyFill="1" applyBorder="1" applyAlignment="1">
      <alignment horizontal="right"/>
    </xf>
    <xf numFmtId="0" fontId="32" fillId="6" borderId="11" xfId="17" applyFont="1" applyFill="1" applyBorder="1" applyAlignment="1">
      <alignment horizontal="center" vertical="center"/>
    </xf>
    <xf numFmtId="0" fontId="31" fillId="6" borderId="11" xfId="17" applyFont="1" applyFill="1" applyBorder="1" applyAlignment="1">
      <alignment horizontal="center" vertical="center" wrapText="1"/>
    </xf>
    <xf numFmtId="0" fontId="35" fillId="6" borderId="15" xfId="17" applyFont="1" applyFill="1" applyBorder="1" applyAlignment="1">
      <alignment horizontal="left" vertical="center" wrapText="1"/>
    </xf>
    <xf numFmtId="3" fontId="34" fillId="7" borderId="11" xfId="17" applyNumberFormat="1" applyFont="1" applyFill="1" applyBorder="1"/>
    <xf numFmtId="0" fontId="30" fillId="6" borderId="15" xfId="17" applyFont="1" applyFill="1" applyBorder="1" applyAlignment="1">
      <alignment horizontal="center"/>
    </xf>
    <xf numFmtId="0" fontId="30" fillId="6" borderId="15" xfId="17" applyFont="1" applyFill="1" applyBorder="1" applyAlignment="1">
      <alignment horizontal="left" wrapText="1"/>
    </xf>
    <xf numFmtId="0" fontId="30" fillId="6" borderId="15" xfId="17" applyFont="1" applyFill="1" applyBorder="1" applyAlignment="1">
      <alignment horizontal="center" wrapText="1"/>
    </xf>
    <xf numFmtId="165" fontId="30" fillId="6" borderId="15" xfId="17" applyNumberFormat="1" applyFont="1" applyFill="1" applyBorder="1" applyAlignment="1">
      <alignment wrapText="1"/>
    </xf>
    <xf numFmtId="4" fontId="32" fillId="7" borderId="11" xfId="1" applyNumberFormat="1" applyFont="1" applyFill="1" applyBorder="1"/>
    <xf numFmtId="4" fontId="30" fillId="6" borderId="15" xfId="1" applyNumberFormat="1" applyFont="1" applyFill="1" applyBorder="1" applyAlignment="1">
      <alignment wrapText="1"/>
    </xf>
    <xf numFmtId="0" fontId="36" fillId="6" borderId="15" xfId="17" applyFont="1" applyFill="1" applyBorder="1" applyAlignment="1">
      <alignment horizontal="center"/>
    </xf>
    <xf numFmtId="0" fontId="37" fillId="6" borderId="15" xfId="17" applyFont="1" applyFill="1" applyBorder="1" applyAlignment="1">
      <alignment horizontal="center" wrapText="1"/>
    </xf>
    <xf numFmtId="165" fontId="32" fillId="7" borderId="11" xfId="1" applyNumberFormat="1" applyFont="1" applyFill="1" applyBorder="1" applyAlignment="1">
      <alignment horizontal="right"/>
    </xf>
    <xf numFmtId="0" fontId="36" fillId="6" borderId="15" xfId="17" applyFont="1" applyFill="1" applyBorder="1" applyAlignment="1">
      <alignment horizontal="left" wrapText="1"/>
    </xf>
    <xf numFmtId="0" fontId="36" fillId="6" borderId="15" xfId="17" applyFont="1" applyFill="1" applyBorder="1" applyAlignment="1">
      <alignment horizontal="center" wrapText="1"/>
    </xf>
    <xf numFmtId="3" fontId="33" fillId="7" borderId="11" xfId="1" applyNumberFormat="1" applyFont="1" applyFill="1" applyBorder="1" applyAlignment="1">
      <alignment horizontal="right"/>
    </xf>
    <xf numFmtId="3" fontId="32" fillId="7" borderId="11" xfId="1" applyNumberFormat="1" applyFont="1" applyFill="1" applyBorder="1" applyAlignment="1">
      <alignment horizontal="right"/>
    </xf>
    <xf numFmtId="165" fontId="36" fillId="6" borderId="15" xfId="17" applyNumberFormat="1" applyFont="1" applyFill="1" applyBorder="1" applyAlignment="1">
      <alignment wrapText="1"/>
    </xf>
    <xf numFmtId="165" fontId="36" fillId="6" borderId="14" xfId="1" applyNumberFormat="1" applyFont="1" applyFill="1" applyBorder="1" applyAlignment="1"/>
    <xf numFmtId="0" fontId="30" fillId="6" borderId="14" xfId="17" applyFont="1" applyFill="1" applyBorder="1" applyAlignment="1">
      <alignment horizontal="center"/>
    </xf>
    <xf numFmtId="0" fontId="30" fillId="6" borderId="14" xfId="17" applyFont="1" applyFill="1" applyBorder="1" applyAlignment="1">
      <alignment horizontal="left" wrapText="1"/>
    </xf>
    <xf numFmtId="0" fontId="30" fillId="6" borderId="14" xfId="17" applyFont="1" applyFill="1" applyBorder="1" applyAlignment="1">
      <alignment horizontal="center" wrapText="1"/>
    </xf>
    <xf numFmtId="165" fontId="30" fillId="6" borderId="14" xfId="1" applyNumberFormat="1" applyFont="1" applyFill="1" applyBorder="1" applyAlignment="1">
      <alignment wrapText="1"/>
    </xf>
    <xf numFmtId="165" fontId="30" fillId="6" borderId="14" xfId="1" applyNumberFormat="1" applyFont="1" applyFill="1" applyBorder="1" applyAlignment="1"/>
    <xf numFmtId="4" fontId="36" fillId="6" borderId="14" xfId="1" applyNumberFormat="1" applyFont="1" applyFill="1" applyBorder="1" applyAlignment="1"/>
    <xf numFmtId="4" fontId="33" fillId="7" borderId="19" xfId="1" applyNumberFormat="1" applyFont="1" applyFill="1" applyBorder="1" applyAlignment="1">
      <alignment horizontal="right"/>
    </xf>
    <xf numFmtId="0" fontId="30" fillId="6" borderId="10" xfId="17" applyFont="1" applyFill="1" applyBorder="1" applyAlignment="1">
      <alignment horizontal="center" vertical="center"/>
    </xf>
    <xf numFmtId="0" fontId="30" fillId="0" borderId="8" xfId="17" applyFont="1" applyBorder="1" applyAlignment="1">
      <alignment horizontal="center" vertical="center" wrapText="1"/>
    </xf>
    <xf numFmtId="0" fontId="30" fillId="0" borderId="18" xfId="17" applyFont="1" applyBorder="1" applyAlignment="1">
      <alignment horizontal="center" vertical="center" wrapText="1"/>
    </xf>
    <xf numFmtId="0" fontId="29" fillId="6" borderId="0" xfId="17" applyFont="1" applyFill="1" applyAlignment="1">
      <alignment horizontal="center"/>
    </xf>
    <xf numFmtId="0" fontId="26" fillId="6" borderId="0" xfId="17" applyFont="1" applyFill="1" applyAlignment="1">
      <alignment horizontal="center" vertical="center"/>
    </xf>
    <xf numFmtId="0" fontId="26" fillId="6" borderId="13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 wrapText="1"/>
    </xf>
    <xf numFmtId="0" fontId="30" fillId="6" borderId="8" xfId="17" applyFont="1" applyFill="1" applyBorder="1" applyAlignment="1">
      <alignment horizontal="center" vertical="center" wrapText="1"/>
    </xf>
    <xf numFmtId="0" fontId="30" fillId="6" borderId="18" xfId="17" applyFont="1" applyFill="1" applyBorder="1" applyAlignment="1">
      <alignment horizontal="center" vertical="center" wrapText="1"/>
    </xf>
    <xf numFmtId="165" fontId="30" fillId="0" borderId="15" xfId="1" applyNumberFormat="1" applyFont="1" applyFill="1" applyBorder="1" applyAlignment="1"/>
    <xf numFmtId="165" fontId="30" fillId="0" borderId="15" xfId="17" applyNumberFormat="1" applyFont="1" applyFill="1" applyBorder="1"/>
    <xf numFmtId="165" fontId="36" fillId="0" borderId="15" xfId="1" applyNumberFormat="1" applyFont="1" applyFill="1" applyBorder="1" applyAlignment="1"/>
    <xf numFmtId="3" fontId="36" fillId="0" borderId="15" xfId="17" applyNumberFormat="1" applyFont="1" applyFill="1" applyBorder="1"/>
    <xf numFmtId="165" fontId="36" fillId="0" borderId="15" xfId="17" applyNumberFormat="1" applyFont="1" applyFill="1" applyBorder="1" applyAlignment="1">
      <alignment vertical="center" wrapText="1"/>
    </xf>
    <xf numFmtId="165" fontId="36" fillId="0" borderId="15" xfId="17" applyNumberFormat="1" applyFont="1" applyFill="1" applyBorder="1"/>
    <xf numFmtId="165" fontId="38" fillId="0" borderId="15" xfId="17" applyNumberFormat="1" applyFont="1" applyFill="1" applyBorder="1"/>
    <xf numFmtId="4" fontId="30" fillId="0" borderId="15" xfId="1" applyNumberFormat="1" applyFont="1" applyFill="1" applyBorder="1" applyAlignment="1"/>
    <xf numFmtId="165" fontId="37" fillId="0" borderId="15" xfId="17" applyNumberFormat="1" applyFont="1" applyFill="1" applyBorder="1"/>
    <xf numFmtId="165" fontId="30" fillId="0" borderId="15" xfId="0" applyNumberFormat="1" applyFont="1" applyFill="1" applyBorder="1"/>
    <xf numFmtId="165" fontId="37" fillId="0" borderId="15" xfId="0" applyNumberFormat="1" applyFont="1" applyFill="1" applyBorder="1"/>
    <xf numFmtId="165" fontId="30" fillId="0" borderId="15" xfId="17" applyNumberFormat="1" applyFont="1" applyFill="1" applyBorder="1" applyAlignment="1">
      <alignment vertical="center" wrapText="1"/>
    </xf>
    <xf numFmtId="165" fontId="30" fillId="0" borderId="15" xfId="1" applyNumberFormat="1" applyFont="1" applyFill="1" applyBorder="1" applyAlignment="1">
      <alignment wrapText="1"/>
    </xf>
    <xf numFmtId="165" fontId="38" fillId="0" borderId="15" xfId="1" applyNumberFormat="1" applyFont="1" applyFill="1" applyBorder="1" applyAlignment="1"/>
    <xf numFmtId="165" fontId="38" fillId="0" borderId="15" xfId="0" applyNumberFormat="1" applyFont="1" applyFill="1" applyBorder="1"/>
    <xf numFmtId="165" fontId="36" fillId="0" borderId="15" xfId="1" applyNumberFormat="1" applyFont="1" applyFill="1" applyBorder="1" applyAlignment="1">
      <alignment wrapText="1"/>
    </xf>
    <xf numFmtId="3" fontId="30" fillId="0" borderId="15" xfId="1" applyNumberFormat="1" applyFont="1" applyFill="1" applyBorder="1" applyAlignment="1"/>
    <xf numFmtId="3" fontId="30" fillId="0" borderId="15" xfId="1" applyNumberFormat="1" applyFont="1" applyFill="1" applyBorder="1" applyAlignment="1">
      <alignment wrapText="1"/>
    </xf>
    <xf numFmtId="3" fontId="36" fillId="0" borderId="15" xfId="1" applyNumberFormat="1" applyFont="1" applyFill="1" applyBorder="1" applyAlignment="1"/>
    <xf numFmtId="165" fontId="37" fillId="6" borderId="15" xfId="1" applyNumberFormat="1" applyFont="1" applyFill="1" applyBorder="1" applyAlignment="1"/>
    <xf numFmtId="0" fontId="36" fillId="0" borderId="8" xfId="17" applyFont="1" applyBorder="1" applyAlignment="1">
      <alignment horizontal="center" vertical="center" wrapText="1"/>
    </xf>
    <xf numFmtId="0" fontId="36" fillId="0" borderId="18" xfId="17" applyFont="1" applyBorder="1" applyAlignment="1">
      <alignment horizontal="center" vertical="center" wrapText="1"/>
    </xf>
    <xf numFmtId="164" fontId="33" fillId="6" borderId="11" xfId="1" applyNumberFormat="1" applyFont="1" applyFill="1" applyBorder="1"/>
    <xf numFmtId="43" fontId="33" fillId="6" borderId="12" xfId="1" applyFont="1" applyFill="1" applyBorder="1"/>
    <xf numFmtId="3" fontId="33" fillId="6" borderId="15" xfId="17" applyNumberFormat="1" applyFont="1" applyFill="1" applyBorder="1"/>
    <xf numFmtId="3" fontId="31" fillId="6" borderId="16" xfId="17" applyNumberFormat="1" applyFont="1" applyFill="1" applyBorder="1"/>
  </cellXfs>
  <cellStyles count="40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er1" xfId="7"/>
    <cellStyle name="Header2" xfId="8"/>
    <cellStyle name="Heading 1" xfId="9" builtinId="16" customBuiltin="1"/>
    <cellStyle name="Heading 2" xfId="10" builtinId="17" customBuiltin="1"/>
    <cellStyle name="Millares [0]_Well Timing" xfId="11"/>
    <cellStyle name="Millares_Well Timing" xfId="12"/>
    <cellStyle name="Moneda [0]_Well Timing" xfId="13"/>
    <cellStyle name="Moneda_Well Timing" xfId="14"/>
    <cellStyle name="n" xfId="15"/>
    <cellStyle name="Normal" xfId="0" builtinId="0"/>
    <cellStyle name="Normal - Style1" xfId="16"/>
    <cellStyle name="Normal_BC KT - XH 6 thang dau nam 2009 cho UBND huyen2" xfId="17"/>
    <cellStyle name="Total" xfId="18" builtinId="25" customBuiltin="1"/>
    <cellStyle name=" [0.00]_ Att. 1- Cover" xfId="19"/>
    <cellStyle name="_ Att. 1- Cover" xfId="20"/>
    <cellStyle name="?_ Att. 1- Cover" xfId="21"/>
    <cellStyle name="똿뗦먛귟 [0.00]_PRODUCT DETAIL Q1" xfId="22"/>
    <cellStyle name="똿뗦먛귟_PRODUCT DETAIL Q1" xfId="23"/>
    <cellStyle name="믅됞 [0.00]_PRODUCT DETAIL Q1" xfId="24"/>
    <cellStyle name="믅됞_PRODUCT DETAIL Q1" xfId="25"/>
    <cellStyle name="백분율_95" xfId="26"/>
    <cellStyle name="뷭?_BOOKSHIP" xfId="27"/>
    <cellStyle name="콤마 [0]_1202" xfId="28"/>
    <cellStyle name="콤마_1202" xfId="29"/>
    <cellStyle name="통화 [0]_1202" xfId="30"/>
    <cellStyle name="통화_1202" xfId="31"/>
    <cellStyle name="표준_(정보부문)월별인원계획" xfId="32"/>
    <cellStyle name="표준_kc-elec system check list" xfId="33"/>
    <cellStyle name="一般_99Q3647-ALL-CAS2" xfId="34"/>
    <cellStyle name="千分位[0]_Book1" xfId="35"/>
    <cellStyle name="千分位_99Q3647-ALL-CAS2" xfId="36"/>
    <cellStyle name="貨幣 [0]_Book1" xfId="37"/>
    <cellStyle name="貨幣[0]_BRE" xfId="38"/>
    <cellStyle name="貨幣_Book1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8"/>
  <sheetViews>
    <sheetView tabSelected="1" topLeftCell="A75" zoomScale="115" zoomScaleNormal="115" workbookViewId="0">
      <selection activeCell="AD14" sqref="AD14"/>
    </sheetView>
  </sheetViews>
  <sheetFormatPr defaultColWidth="9.140625" defaultRowHeight="15" customHeight="1"/>
  <cols>
    <col min="1" max="1" width="4.5703125" style="16" customWidth="1"/>
    <col min="2" max="2" width="17.140625" style="17" customWidth="1"/>
    <col min="3" max="3" width="7.5703125" style="18" customWidth="1"/>
    <col min="4" max="4" width="10.5703125" style="18" hidden="1" customWidth="1"/>
    <col min="5" max="5" width="9.85546875" style="18" hidden="1" customWidth="1"/>
    <col min="6" max="7" width="8" style="11" hidden="1" customWidth="1"/>
    <col min="8" max="8" width="8.140625" style="11" hidden="1" customWidth="1"/>
    <col min="9" max="9" width="7.85546875" style="11" hidden="1" customWidth="1"/>
    <col min="10" max="10" width="8" style="11" hidden="1" customWidth="1"/>
    <col min="11" max="11" width="8.140625" style="11" hidden="1" customWidth="1"/>
    <col min="12" max="12" width="8.5703125" style="11" hidden="1" customWidth="1"/>
    <col min="13" max="13" width="7.7109375" style="11" hidden="1" customWidth="1"/>
    <col min="14" max="14" width="9.28515625" style="11" customWidth="1"/>
    <col min="15" max="15" width="9.140625" style="11" customWidth="1"/>
    <col min="16" max="16" width="7.85546875" style="11" hidden="1" customWidth="1"/>
    <col min="17" max="17" width="9.140625" style="11" customWidth="1"/>
    <col min="18" max="18" width="9.140625" style="11" hidden="1" customWidth="1"/>
    <col min="19" max="19" width="11" style="11" customWidth="1"/>
    <col min="20" max="20" width="9.140625" style="11" hidden="1" customWidth="1"/>
    <col min="21" max="21" width="10.28515625" style="11" customWidth="1"/>
    <col min="22" max="22" width="9.140625" style="11" hidden="1" customWidth="1"/>
    <col min="23" max="23" width="9.140625" style="11" customWidth="1"/>
    <col min="24" max="24" width="9.140625" style="11" hidden="1" customWidth="1"/>
    <col min="25" max="25" width="9.140625" style="11" customWidth="1"/>
    <col min="26" max="26" width="9.140625" style="11" hidden="1" customWidth="1"/>
    <col min="27" max="27" width="9.140625" style="11" customWidth="1"/>
    <col min="28" max="28" width="9.140625" style="11" hidden="1" customWidth="1"/>
    <col min="29" max="29" width="9.140625" style="11" customWidth="1"/>
    <col min="30" max="16384" width="9.140625" style="11"/>
  </cols>
  <sheetData>
    <row r="1" spans="1:31" ht="20.25" customHeight="1">
      <c r="A1" s="151" t="s">
        <v>164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31" ht="16.5" customHeight="1">
      <c r="A2" s="152" t="s">
        <v>166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</row>
    <row r="3" spans="1:31" ht="18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9"/>
    </row>
    <row r="4" spans="1:31" ht="17.25" customHeight="1">
      <c r="A4" s="148" t="s">
        <v>163</v>
      </c>
      <c r="B4" s="154" t="s">
        <v>4</v>
      </c>
      <c r="C4" s="154" t="s">
        <v>0</v>
      </c>
      <c r="D4" s="155" t="s">
        <v>135</v>
      </c>
      <c r="E4" s="155" t="s">
        <v>136</v>
      </c>
      <c r="F4" s="149" t="s">
        <v>140</v>
      </c>
      <c r="G4" s="148" t="s">
        <v>98</v>
      </c>
      <c r="H4" s="148"/>
      <c r="I4" s="148"/>
      <c r="J4" s="148"/>
      <c r="K4" s="148"/>
      <c r="L4" s="148"/>
      <c r="M4" s="148"/>
      <c r="N4" s="149" t="s">
        <v>139</v>
      </c>
      <c r="O4" s="149" t="s">
        <v>165</v>
      </c>
      <c r="P4" s="20"/>
      <c r="Q4" s="148" t="s">
        <v>98</v>
      </c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77" t="s">
        <v>162</v>
      </c>
      <c r="AE4" s="149" t="s">
        <v>141</v>
      </c>
    </row>
    <row r="5" spans="1:31" ht="54.75" customHeight="1">
      <c r="A5" s="148"/>
      <c r="B5" s="154"/>
      <c r="C5" s="154"/>
      <c r="D5" s="156"/>
      <c r="E5" s="156"/>
      <c r="F5" s="150"/>
      <c r="G5" s="21" t="s">
        <v>5</v>
      </c>
      <c r="H5" s="21" t="s">
        <v>59</v>
      </c>
      <c r="I5" s="21" t="s">
        <v>85</v>
      </c>
      <c r="J5" s="21" t="s">
        <v>86</v>
      </c>
      <c r="K5" s="22" t="s">
        <v>87</v>
      </c>
      <c r="L5" s="22" t="s">
        <v>60</v>
      </c>
      <c r="M5" s="22" t="s">
        <v>61</v>
      </c>
      <c r="N5" s="150"/>
      <c r="O5" s="150"/>
      <c r="P5" s="23" t="s">
        <v>142</v>
      </c>
      <c r="Q5" s="21" t="s">
        <v>5</v>
      </c>
      <c r="R5" s="23" t="s">
        <v>143</v>
      </c>
      <c r="S5" s="21" t="s">
        <v>59</v>
      </c>
      <c r="T5" s="23" t="s">
        <v>144</v>
      </c>
      <c r="U5" s="21" t="s">
        <v>85</v>
      </c>
      <c r="V5" s="23" t="s">
        <v>145</v>
      </c>
      <c r="W5" s="21" t="s">
        <v>86</v>
      </c>
      <c r="X5" s="23" t="s">
        <v>146</v>
      </c>
      <c r="Y5" s="22" t="s">
        <v>87</v>
      </c>
      <c r="Z5" s="23" t="s">
        <v>147</v>
      </c>
      <c r="AA5" s="22" t="s">
        <v>60</v>
      </c>
      <c r="AB5" s="23" t="s">
        <v>148</v>
      </c>
      <c r="AC5" s="22" t="s">
        <v>61</v>
      </c>
      <c r="AD5" s="178"/>
      <c r="AE5" s="150"/>
    </row>
    <row r="6" spans="1:31" ht="16.5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7</v>
      </c>
      <c r="G6" s="24">
        <v>9</v>
      </c>
      <c r="H6" s="24">
        <v>10</v>
      </c>
      <c r="I6" s="24">
        <v>11</v>
      </c>
      <c r="J6" s="24">
        <v>12</v>
      </c>
      <c r="K6" s="24">
        <v>13</v>
      </c>
      <c r="L6" s="24">
        <v>14</v>
      </c>
      <c r="M6" s="24">
        <v>15</v>
      </c>
      <c r="N6" s="24">
        <v>4</v>
      </c>
      <c r="O6" s="24">
        <v>5</v>
      </c>
      <c r="P6" s="25"/>
      <c r="Q6" s="24">
        <v>6</v>
      </c>
      <c r="R6" s="25"/>
      <c r="S6" s="24">
        <v>7</v>
      </c>
      <c r="T6" s="25"/>
      <c r="U6" s="24">
        <v>8</v>
      </c>
      <c r="V6" s="25"/>
      <c r="W6" s="24">
        <v>9</v>
      </c>
      <c r="X6" s="25"/>
      <c r="Y6" s="24">
        <v>10</v>
      </c>
      <c r="Z6" s="25"/>
      <c r="AA6" s="24">
        <v>11</v>
      </c>
      <c r="AB6" s="25"/>
      <c r="AC6" s="24">
        <v>12</v>
      </c>
      <c r="AD6" s="24">
        <v>13</v>
      </c>
      <c r="AE6" s="24">
        <v>14</v>
      </c>
    </row>
    <row r="7" spans="1:31" s="12" customFormat="1" ht="14.25" hidden="1" customHeight="1">
      <c r="A7" s="24">
        <v>1</v>
      </c>
      <c r="B7" s="26" t="s">
        <v>100</v>
      </c>
      <c r="C7" s="27" t="s">
        <v>41</v>
      </c>
      <c r="D7" s="28"/>
      <c r="E7" s="28"/>
      <c r="F7" s="28"/>
      <c r="G7" s="29">
        <v>2982</v>
      </c>
      <c r="H7" s="28">
        <v>5648</v>
      </c>
      <c r="I7" s="28">
        <v>2725</v>
      </c>
      <c r="J7" s="28">
        <v>7366</v>
      </c>
      <c r="K7" s="28">
        <v>4383</v>
      </c>
      <c r="L7" s="28">
        <v>5597</v>
      </c>
      <c r="M7" s="28">
        <v>2268</v>
      </c>
      <c r="N7" s="28"/>
      <c r="O7" s="28"/>
      <c r="P7" s="30"/>
      <c r="Q7" s="29">
        <v>2982</v>
      </c>
      <c r="R7" s="31"/>
      <c r="S7" s="28">
        <v>5648</v>
      </c>
      <c r="T7" s="30"/>
      <c r="U7" s="28">
        <v>2725</v>
      </c>
      <c r="V7" s="30"/>
      <c r="W7" s="28">
        <v>7366</v>
      </c>
      <c r="X7" s="30"/>
      <c r="Y7" s="28">
        <v>4383</v>
      </c>
      <c r="Z7" s="30"/>
      <c r="AA7" s="28">
        <v>5597</v>
      </c>
      <c r="AB7" s="30"/>
      <c r="AC7" s="28">
        <v>2268</v>
      </c>
      <c r="AD7" s="179"/>
      <c r="AE7" s="28"/>
    </row>
    <row r="8" spans="1:31" s="12" customFormat="1" ht="15" hidden="1" customHeight="1">
      <c r="A8" s="24">
        <v>1</v>
      </c>
      <c r="B8" s="26" t="s">
        <v>45</v>
      </c>
      <c r="C8" s="27" t="s">
        <v>41</v>
      </c>
      <c r="D8" s="28"/>
      <c r="E8" s="28"/>
      <c r="F8" s="28"/>
      <c r="G8" s="28">
        <v>2944</v>
      </c>
      <c r="H8" s="28">
        <v>5575</v>
      </c>
      <c r="I8" s="28">
        <v>2690</v>
      </c>
      <c r="J8" s="28">
        <v>7271</v>
      </c>
      <c r="K8" s="28">
        <v>4327</v>
      </c>
      <c r="L8" s="28">
        <v>5525</v>
      </c>
      <c r="M8" s="28">
        <v>2239</v>
      </c>
      <c r="N8" s="28"/>
      <c r="O8" s="28"/>
      <c r="P8" s="30"/>
      <c r="Q8" s="28">
        <v>2944</v>
      </c>
      <c r="R8" s="30"/>
      <c r="S8" s="28">
        <v>5575</v>
      </c>
      <c r="T8" s="30"/>
      <c r="U8" s="28">
        <v>2690</v>
      </c>
      <c r="V8" s="30"/>
      <c r="W8" s="28">
        <v>7271</v>
      </c>
      <c r="X8" s="30"/>
      <c r="Y8" s="28">
        <v>4327</v>
      </c>
      <c r="Z8" s="30"/>
      <c r="AA8" s="28">
        <v>5525</v>
      </c>
      <c r="AB8" s="30"/>
      <c r="AC8" s="28">
        <v>2239</v>
      </c>
      <c r="AD8" s="179"/>
      <c r="AE8" s="28"/>
    </row>
    <row r="9" spans="1:31" ht="0.75" hidden="1" customHeight="1">
      <c r="A9" s="24">
        <v>1</v>
      </c>
      <c r="B9" s="32" t="s">
        <v>99</v>
      </c>
      <c r="C9" s="33" t="s">
        <v>101</v>
      </c>
      <c r="D9" s="34"/>
      <c r="E9" s="34"/>
      <c r="F9" s="34"/>
      <c r="G9" s="34">
        <f t="shared" ref="G9:M9" si="0">(G10/G8)*1000</f>
        <v>767.31657608695662</v>
      </c>
      <c r="H9" s="34">
        <f t="shared" si="0"/>
        <v>420.22062780269061</v>
      </c>
      <c r="I9" s="34">
        <f t="shared" si="0"/>
        <v>535.39033457249059</v>
      </c>
      <c r="J9" s="34">
        <f t="shared" si="0"/>
        <v>259.01526612570484</v>
      </c>
      <c r="K9" s="34">
        <f t="shared" si="0"/>
        <v>551.55997226715976</v>
      </c>
      <c r="L9" s="34">
        <f t="shared" si="0"/>
        <v>116.97520361990949</v>
      </c>
      <c r="M9" s="34">
        <f t="shared" si="0"/>
        <v>708.7092451987495</v>
      </c>
      <c r="N9" s="34"/>
      <c r="O9" s="34"/>
      <c r="P9" s="35"/>
      <c r="Q9" s="34">
        <f t="shared" ref="Q9" si="1">(Q10/Q8)*1000</f>
        <v>0</v>
      </c>
      <c r="R9" s="35"/>
      <c r="S9" s="34">
        <f t="shared" ref="S9" si="2">(S10/S8)*1000</f>
        <v>0</v>
      </c>
      <c r="T9" s="35"/>
      <c r="U9" s="34">
        <f t="shared" ref="U9" si="3">(U10/U8)*1000</f>
        <v>0</v>
      </c>
      <c r="V9" s="35"/>
      <c r="W9" s="34">
        <f t="shared" ref="W9" si="4">(W10/W8)*1000</f>
        <v>0</v>
      </c>
      <c r="X9" s="35"/>
      <c r="Y9" s="34">
        <f t="shared" ref="Y9" si="5">(Y10/Y8)*1000</f>
        <v>0</v>
      </c>
      <c r="Z9" s="35"/>
      <c r="AA9" s="34">
        <f t="shared" ref="AA9" si="6">(AA10/AA8)*1000</f>
        <v>0</v>
      </c>
      <c r="AB9" s="35"/>
      <c r="AC9" s="34">
        <f t="shared" ref="AC9" si="7">(AC10/AC8)*1000</f>
        <v>0</v>
      </c>
      <c r="AD9" s="180"/>
      <c r="AE9" s="34"/>
    </row>
    <row r="10" spans="1:31" ht="10.5" hidden="1" customHeight="1">
      <c r="A10" s="24">
        <v>1</v>
      </c>
      <c r="B10" s="36" t="s">
        <v>88</v>
      </c>
      <c r="C10" s="37" t="s">
        <v>36</v>
      </c>
      <c r="D10" s="38">
        <f t="shared" ref="D10" si="8">D18+D38</f>
        <v>12563</v>
      </c>
      <c r="E10" s="38"/>
      <c r="F10" s="38"/>
      <c r="G10" s="38">
        <f t="shared" ref="G10:M10" si="9">G18+G38</f>
        <v>2258.98</v>
      </c>
      <c r="H10" s="38">
        <f t="shared" si="9"/>
        <v>2342.73</v>
      </c>
      <c r="I10" s="38">
        <f t="shared" si="9"/>
        <v>1440.1999999999998</v>
      </c>
      <c r="J10" s="38">
        <f t="shared" si="9"/>
        <v>1883.3000000000002</v>
      </c>
      <c r="K10" s="38">
        <f t="shared" si="9"/>
        <v>2386.6000000000004</v>
      </c>
      <c r="L10" s="38">
        <f t="shared" si="9"/>
        <v>646.28800000000001</v>
      </c>
      <c r="M10" s="38">
        <f t="shared" si="9"/>
        <v>1586.8</v>
      </c>
      <c r="N10" s="38"/>
      <c r="O10" s="38"/>
      <c r="P10" s="39"/>
      <c r="Q10" s="38">
        <f t="shared" ref="Q10" si="10">Q18+Q38</f>
        <v>0</v>
      </c>
      <c r="R10" s="39"/>
      <c r="S10" s="38">
        <f t="shared" ref="S10" si="11">S18+S38</f>
        <v>0</v>
      </c>
      <c r="T10" s="39"/>
      <c r="U10" s="38">
        <f t="shared" ref="U10" si="12">U18+U38</f>
        <v>0</v>
      </c>
      <c r="V10" s="39"/>
      <c r="W10" s="38">
        <f t="shared" ref="W10" si="13">W18+W38</f>
        <v>0</v>
      </c>
      <c r="X10" s="39"/>
      <c r="Y10" s="38">
        <f t="shared" ref="Y10" si="14">Y18+Y38</f>
        <v>0</v>
      </c>
      <c r="Z10" s="39"/>
      <c r="AA10" s="38">
        <f t="shared" ref="AA10" si="15">AA18+AA38</f>
        <v>0</v>
      </c>
      <c r="AB10" s="39"/>
      <c r="AC10" s="38">
        <f t="shared" ref="AC10" si="16">AC18+AC38</f>
        <v>0</v>
      </c>
      <c r="AD10" s="181"/>
      <c r="AE10" s="38"/>
    </row>
    <row r="11" spans="1:31" ht="0.75" hidden="1" customHeight="1">
      <c r="A11" s="24">
        <v>1</v>
      </c>
      <c r="B11" s="40" t="s">
        <v>76</v>
      </c>
      <c r="C11" s="41" t="s">
        <v>36</v>
      </c>
      <c r="D11" s="42">
        <f t="shared" ref="D11" si="17">D18</f>
        <v>8012</v>
      </c>
      <c r="E11" s="42"/>
      <c r="F11" s="42"/>
      <c r="G11" s="42">
        <f t="shared" ref="G11:M11" si="18">G18</f>
        <v>1476.58</v>
      </c>
      <c r="H11" s="42">
        <f t="shared" si="18"/>
        <v>1601.83</v>
      </c>
      <c r="I11" s="42">
        <f t="shared" si="18"/>
        <v>1059.3</v>
      </c>
      <c r="J11" s="42">
        <f t="shared" si="18"/>
        <v>1326.7</v>
      </c>
      <c r="K11" s="42">
        <f t="shared" si="18"/>
        <v>1575.4</v>
      </c>
      <c r="L11" s="42">
        <f t="shared" si="18"/>
        <v>375.88800000000003</v>
      </c>
      <c r="M11" s="42">
        <f t="shared" si="18"/>
        <v>551.79999999999995</v>
      </c>
      <c r="N11" s="42"/>
      <c r="O11" s="42"/>
      <c r="P11" s="43"/>
      <c r="Q11" s="42">
        <f t="shared" ref="Q11" si="19">Q18</f>
        <v>0</v>
      </c>
      <c r="R11" s="43"/>
      <c r="S11" s="42">
        <f t="shared" ref="S11" si="20">S18</f>
        <v>0</v>
      </c>
      <c r="T11" s="43"/>
      <c r="U11" s="42">
        <f t="shared" ref="U11" si="21">U18</f>
        <v>0</v>
      </c>
      <c r="V11" s="43"/>
      <c r="W11" s="42">
        <f t="shared" ref="W11" si="22">W18</f>
        <v>0</v>
      </c>
      <c r="X11" s="43"/>
      <c r="Y11" s="42">
        <f t="shared" ref="Y11" si="23">Y18</f>
        <v>0</v>
      </c>
      <c r="Z11" s="43"/>
      <c r="AA11" s="42">
        <f t="shared" ref="AA11" si="24">AA18</f>
        <v>0</v>
      </c>
      <c r="AB11" s="43"/>
      <c r="AC11" s="42">
        <f t="shared" ref="AC11" si="25">AC18</f>
        <v>0</v>
      </c>
      <c r="AD11" s="182"/>
      <c r="AE11" s="42"/>
    </row>
    <row r="12" spans="1:31" ht="22.5" customHeight="1">
      <c r="A12" s="44" t="s">
        <v>8</v>
      </c>
      <c r="B12" s="45" t="s">
        <v>44</v>
      </c>
      <c r="C12" s="46" t="s">
        <v>39</v>
      </c>
      <c r="D12" s="47"/>
      <c r="E12" s="47"/>
      <c r="F12" s="48"/>
      <c r="G12" s="47"/>
      <c r="H12" s="47"/>
      <c r="I12" s="47"/>
      <c r="J12" s="47"/>
      <c r="K12" s="47"/>
      <c r="L12" s="47"/>
      <c r="M12" s="47"/>
      <c r="N12" s="49"/>
      <c r="O12" s="48"/>
      <c r="P12" s="50"/>
      <c r="Q12" s="47"/>
      <c r="R12" s="51"/>
      <c r="S12" s="47"/>
      <c r="T12" s="51"/>
      <c r="U12" s="47"/>
      <c r="V12" s="51"/>
      <c r="W12" s="47"/>
      <c r="X12" s="51"/>
      <c r="Y12" s="47"/>
      <c r="Z12" s="51"/>
      <c r="AA12" s="47"/>
      <c r="AB12" s="51"/>
      <c r="AC12" s="47"/>
      <c r="AD12" s="47"/>
      <c r="AE12" s="47"/>
    </row>
    <row r="13" spans="1:31" ht="22.5" customHeight="1">
      <c r="A13" s="52" t="s">
        <v>63</v>
      </c>
      <c r="B13" s="53" t="s">
        <v>134</v>
      </c>
      <c r="C13" s="54" t="s">
        <v>1</v>
      </c>
      <c r="D13" s="55">
        <v>12793</v>
      </c>
      <c r="E13" s="56">
        <f t="shared" ref="E13:AC13" si="26">E14+E78+E129</f>
        <v>12961.3</v>
      </c>
      <c r="F13" s="56">
        <f t="shared" si="26"/>
        <v>13036.12</v>
      </c>
      <c r="G13" s="56">
        <f t="shared" si="26"/>
        <v>836.19999999999993</v>
      </c>
      <c r="H13" s="56">
        <f t="shared" si="26"/>
        <v>2199.42</v>
      </c>
      <c r="I13" s="56">
        <f t="shared" si="26"/>
        <v>2154.15</v>
      </c>
      <c r="J13" s="56">
        <f t="shared" si="26"/>
        <v>3854.6</v>
      </c>
      <c r="K13" s="56">
        <f t="shared" si="26"/>
        <v>2009.9299999999998</v>
      </c>
      <c r="L13" s="56">
        <f t="shared" si="26"/>
        <v>1143.1000000000001</v>
      </c>
      <c r="M13" s="56">
        <f t="shared" si="26"/>
        <v>838.72</v>
      </c>
      <c r="N13" s="157">
        <f t="shared" si="26"/>
        <v>13136.12</v>
      </c>
      <c r="O13" s="56">
        <f t="shared" si="26"/>
        <v>8848.56</v>
      </c>
      <c r="P13" s="30">
        <f t="shared" si="26"/>
        <v>849.9</v>
      </c>
      <c r="Q13" s="56">
        <f t="shared" si="26"/>
        <v>376.99999999999994</v>
      </c>
      <c r="R13" s="30">
        <f t="shared" si="26"/>
        <v>2223.7200000000003</v>
      </c>
      <c r="S13" s="56">
        <f t="shared" si="26"/>
        <v>1463.4199999999998</v>
      </c>
      <c r="T13" s="30">
        <f t="shared" si="26"/>
        <v>2166.15</v>
      </c>
      <c r="U13" s="56">
        <f t="shared" si="26"/>
        <v>1374.65</v>
      </c>
      <c r="V13" s="30">
        <f t="shared" si="26"/>
        <v>3870.6</v>
      </c>
      <c r="W13" s="56">
        <f t="shared" si="26"/>
        <v>3193.84</v>
      </c>
      <c r="X13" s="30">
        <f t="shared" si="26"/>
        <v>2021.03</v>
      </c>
      <c r="Y13" s="56">
        <f t="shared" si="26"/>
        <v>1195.33</v>
      </c>
      <c r="Z13" s="30">
        <f t="shared" si="26"/>
        <v>1151.0000000000002</v>
      </c>
      <c r="AA13" s="56">
        <f t="shared" si="26"/>
        <v>808.3</v>
      </c>
      <c r="AB13" s="30">
        <f t="shared" si="26"/>
        <v>853.72</v>
      </c>
      <c r="AC13" s="56">
        <f t="shared" si="26"/>
        <v>436.02</v>
      </c>
      <c r="AD13" s="56">
        <f>O13/N13*100</f>
        <v>67.360529593213215</v>
      </c>
      <c r="AE13" s="56"/>
    </row>
    <row r="14" spans="1:31" ht="22.5" customHeight="1">
      <c r="A14" s="58" t="s">
        <v>9</v>
      </c>
      <c r="B14" s="53" t="s">
        <v>118</v>
      </c>
      <c r="C14" s="54" t="s">
        <v>1</v>
      </c>
      <c r="D14" s="55">
        <v>6787</v>
      </c>
      <c r="E14" s="56">
        <f>E16+E36+E50+E59+E68-1.75</f>
        <v>6658</v>
      </c>
      <c r="F14" s="56">
        <f>F16+F36+F50+F59+F68</f>
        <v>6605.5900000000011</v>
      </c>
      <c r="G14" s="56">
        <f>G16+G36+G50+G59+G68</f>
        <v>662.4</v>
      </c>
      <c r="H14" s="56">
        <f t="shared" ref="H14:M14" si="27">H16+H36+H50+H59+H68</f>
        <v>1278.6500000000001</v>
      </c>
      <c r="I14" s="56">
        <f t="shared" si="27"/>
        <v>1237.55</v>
      </c>
      <c r="J14" s="56">
        <f t="shared" si="27"/>
        <v>1026</v>
      </c>
      <c r="K14" s="56">
        <f t="shared" si="27"/>
        <v>1350.6999999999998</v>
      </c>
      <c r="L14" s="56">
        <f t="shared" si="27"/>
        <v>510.09</v>
      </c>
      <c r="M14" s="56">
        <f t="shared" si="27"/>
        <v>540.20000000000005</v>
      </c>
      <c r="N14" s="157">
        <f>N16+N36+N50+N59+N68</f>
        <v>6465.5900000000011</v>
      </c>
      <c r="O14" s="56">
        <f>O16+O36+O50+O59+O68</f>
        <v>2464.4300000000003</v>
      </c>
      <c r="P14" s="30">
        <f t="shared" ref="P14" si="28">P16+P36+P50+P59+P68</f>
        <v>651.1</v>
      </c>
      <c r="Q14" s="56">
        <f>Q16+Q36+Q50+Q59+Q68</f>
        <v>209.39999999999998</v>
      </c>
      <c r="R14" s="30">
        <f t="shared" ref="R14" si="29">R16+R36+R50+R59+R68</f>
        <v>1255.95</v>
      </c>
      <c r="S14" s="56">
        <f t="shared" ref="S14:T14" si="30">S16+S36+S50+S59+S68</f>
        <v>548.75</v>
      </c>
      <c r="T14" s="30">
        <f t="shared" si="30"/>
        <v>1215.55</v>
      </c>
      <c r="U14" s="56">
        <f t="shared" ref="U14:V14" si="31">U16+U36+U50+U59+U68</f>
        <v>463.54999999999995</v>
      </c>
      <c r="V14" s="30">
        <f t="shared" si="31"/>
        <v>999</v>
      </c>
      <c r="W14" s="56">
        <f t="shared" ref="W14:X14" si="32">W16+W36+W50+W59+W68</f>
        <v>375.24000000000007</v>
      </c>
      <c r="X14" s="30">
        <f t="shared" si="32"/>
        <v>1325.7</v>
      </c>
      <c r="Y14" s="56">
        <f t="shared" ref="Y14:Z14" si="33">Y16+Y36+Y50+Y59+Y68</f>
        <v>542.79999999999984</v>
      </c>
      <c r="Z14" s="30">
        <f t="shared" si="33"/>
        <v>494.09000000000009</v>
      </c>
      <c r="AA14" s="56">
        <f t="shared" ref="AA14:AB14" si="34">AA16+AA36+AA50+AA59+AA68</f>
        <v>180.69</v>
      </c>
      <c r="AB14" s="30">
        <f t="shared" si="34"/>
        <v>524.20000000000005</v>
      </c>
      <c r="AC14" s="56">
        <f t="shared" ref="AC14" si="35">AC16+AC36+AC50+AC59+AC68</f>
        <v>144</v>
      </c>
      <c r="AD14" s="56">
        <f>O14/N14*100</f>
        <v>38.1160884002852</v>
      </c>
      <c r="AE14" s="56"/>
    </row>
    <row r="15" spans="1:31" ht="22.5" customHeight="1">
      <c r="A15" s="58">
        <v>1</v>
      </c>
      <c r="B15" s="53" t="s">
        <v>57</v>
      </c>
      <c r="C15" s="59"/>
      <c r="D15" s="55"/>
      <c r="E15" s="56"/>
      <c r="F15" s="56"/>
      <c r="G15" s="55"/>
      <c r="H15" s="55"/>
      <c r="I15" s="55"/>
      <c r="J15" s="55"/>
      <c r="K15" s="55"/>
      <c r="L15" s="55"/>
      <c r="M15" s="55"/>
      <c r="N15" s="158"/>
      <c r="O15" s="56"/>
      <c r="P15" s="60"/>
      <c r="Q15" s="55"/>
      <c r="R15" s="60"/>
      <c r="S15" s="55"/>
      <c r="T15" s="60"/>
      <c r="U15" s="55"/>
      <c r="V15" s="60"/>
      <c r="W15" s="55"/>
      <c r="X15" s="60"/>
      <c r="Y15" s="55"/>
      <c r="Z15" s="60"/>
      <c r="AA15" s="55"/>
      <c r="AB15" s="60"/>
      <c r="AC15" s="55"/>
      <c r="AD15" s="68"/>
      <c r="AE15" s="55"/>
    </row>
    <row r="16" spans="1:31" ht="22.5" customHeight="1">
      <c r="A16" s="52" t="s">
        <v>3</v>
      </c>
      <c r="B16" s="61" t="s">
        <v>10</v>
      </c>
      <c r="C16" s="58" t="s">
        <v>1</v>
      </c>
      <c r="D16" s="62">
        <v>1536</v>
      </c>
      <c r="E16" s="63">
        <f>E20+E24</f>
        <v>1519</v>
      </c>
      <c r="F16" s="63">
        <f>F20+F24</f>
        <v>1511.22</v>
      </c>
      <c r="G16" s="64">
        <f>G20+G24</f>
        <v>268.8</v>
      </c>
      <c r="H16" s="64">
        <f t="shared" ref="H16:M16" si="36">H20+H24</f>
        <v>266.5</v>
      </c>
      <c r="I16" s="64">
        <f t="shared" si="36"/>
        <v>258</v>
      </c>
      <c r="J16" s="64">
        <f t="shared" si="36"/>
        <v>296</v>
      </c>
      <c r="K16" s="64">
        <f t="shared" si="36"/>
        <v>240</v>
      </c>
      <c r="L16" s="64">
        <f t="shared" si="36"/>
        <v>65.92</v>
      </c>
      <c r="M16" s="64">
        <f t="shared" si="36"/>
        <v>116</v>
      </c>
      <c r="N16" s="159">
        <f>N20+N24</f>
        <v>1511.22</v>
      </c>
      <c r="O16" s="63">
        <f>O20+O24</f>
        <v>528.52</v>
      </c>
      <c r="P16" s="66">
        <f t="shared" ref="P16" si="37">P20+P24</f>
        <v>268.5</v>
      </c>
      <c r="Q16" s="64">
        <f>Q20+Q24</f>
        <v>113.8</v>
      </c>
      <c r="R16" s="67">
        <f t="shared" ref="R16" si="38">R20+R24</f>
        <v>266.8</v>
      </c>
      <c r="S16" s="64">
        <f t="shared" ref="S16:T16" si="39">S20+S24</f>
        <v>107.7</v>
      </c>
      <c r="T16" s="66">
        <f t="shared" si="39"/>
        <v>258</v>
      </c>
      <c r="U16" s="64">
        <f t="shared" ref="U16:V16" si="40">U20+U24</f>
        <v>63</v>
      </c>
      <c r="V16" s="67">
        <f t="shared" si="40"/>
        <v>296</v>
      </c>
      <c r="W16" s="64">
        <f t="shared" ref="W16:X16" si="41">W20+W24</f>
        <v>83</v>
      </c>
      <c r="X16" s="67">
        <f t="shared" si="41"/>
        <v>240</v>
      </c>
      <c r="Y16" s="64">
        <f t="shared" ref="Y16:Z16" si="42">Y20+Y24</f>
        <v>98</v>
      </c>
      <c r="Z16" s="67">
        <f t="shared" si="42"/>
        <v>65.92</v>
      </c>
      <c r="AA16" s="64">
        <f t="shared" ref="AA16:AB16" si="43">AA20+AA24</f>
        <v>24.02</v>
      </c>
      <c r="AB16" s="67">
        <f t="shared" si="43"/>
        <v>116</v>
      </c>
      <c r="AC16" s="64">
        <f t="shared" ref="AC16" si="44">AC20+AC24</f>
        <v>39</v>
      </c>
      <c r="AD16" s="63">
        <f>O16/N16*100</f>
        <v>34.973068117150383</v>
      </c>
      <c r="AE16" s="64"/>
    </row>
    <row r="17" spans="1:31" ht="22.5" customHeight="1">
      <c r="A17" s="52" t="s">
        <v>34</v>
      </c>
      <c r="B17" s="61" t="s">
        <v>11</v>
      </c>
      <c r="C17" s="59" t="s">
        <v>2</v>
      </c>
      <c r="D17" s="68">
        <v>52</v>
      </c>
      <c r="E17" s="63">
        <v>52.611586570111925</v>
      </c>
      <c r="F17" s="63">
        <f>F18/F16*10</f>
        <v>52.722290599647962</v>
      </c>
      <c r="G17" s="68">
        <f t="shared" ref="G17:M17" si="45">G18/G16*10</f>
        <v>54.932291666666664</v>
      </c>
      <c r="H17" s="68">
        <f t="shared" si="45"/>
        <v>60.106191369606002</v>
      </c>
      <c r="I17" s="68">
        <f t="shared" si="45"/>
        <v>41.058139534883722</v>
      </c>
      <c r="J17" s="68">
        <f t="shared" si="45"/>
        <v>44.820945945945951</v>
      </c>
      <c r="K17" s="68">
        <f t="shared" si="45"/>
        <v>65.641666666666666</v>
      </c>
      <c r="L17" s="68">
        <f t="shared" si="45"/>
        <v>57.021844660194176</v>
      </c>
      <c r="M17" s="68">
        <f t="shared" si="45"/>
        <v>47.568965517241381</v>
      </c>
      <c r="N17" s="160">
        <f>N18/N16*10</f>
        <v>53.334458252273002</v>
      </c>
      <c r="O17" s="63">
        <f>O18/O16*10</f>
        <v>0</v>
      </c>
      <c r="P17" s="69">
        <f t="shared" ref="P17" si="46">P18/P16*10</f>
        <v>55.791433891992554</v>
      </c>
      <c r="Q17" s="68">
        <f t="shared" ref="Q17:R17" si="47">Q18/Q16*10</f>
        <v>0</v>
      </c>
      <c r="R17" s="69">
        <f t="shared" si="47"/>
        <v>61.068965517241381</v>
      </c>
      <c r="S17" s="68">
        <f t="shared" ref="S17:T17" si="48">S18/S16*10</f>
        <v>0</v>
      </c>
      <c r="T17" s="69">
        <f t="shared" si="48"/>
        <v>41.883720930232549</v>
      </c>
      <c r="U17" s="68">
        <f t="shared" ref="U17:V17" si="49">U18/U16*10</f>
        <v>0</v>
      </c>
      <c r="V17" s="69">
        <f t="shared" si="49"/>
        <v>45.435810810810807</v>
      </c>
      <c r="W17" s="68">
        <f t="shared" ref="W17:X17" si="50">W18/W16*10</f>
        <v>0</v>
      </c>
      <c r="X17" s="69">
        <f t="shared" si="50"/>
        <v>65.549999999999983</v>
      </c>
      <c r="Y17" s="68">
        <f t="shared" ref="Y17:Z17" si="51">Y18/Y16*10</f>
        <v>0</v>
      </c>
      <c r="Z17" s="69">
        <f t="shared" si="51"/>
        <v>57.386225728155331</v>
      </c>
      <c r="AA17" s="68">
        <f t="shared" ref="AA17:AB17" si="52">AA18/AA16*10</f>
        <v>0</v>
      </c>
      <c r="AB17" s="69">
        <f t="shared" si="52"/>
        <v>47.90517241379311</v>
      </c>
      <c r="AC17" s="68">
        <f t="shared" ref="AC17" si="53">AC18/AC16*10</f>
        <v>0</v>
      </c>
      <c r="AD17" s="68"/>
      <c r="AE17" s="68"/>
    </row>
    <row r="18" spans="1:31" ht="22.5" customHeight="1">
      <c r="A18" s="52" t="s">
        <v>34</v>
      </c>
      <c r="B18" s="61" t="s">
        <v>12</v>
      </c>
      <c r="C18" s="59" t="s">
        <v>36</v>
      </c>
      <c r="D18" s="68">
        <v>8012</v>
      </c>
      <c r="E18" s="63">
        <v>7991.7000000000007</v>
      </c>
      <c r="F18" s="63">
        <f>G18+H18+I18+J18+K18+L18+M18</f>
        <v>7967.4979999999996</v>
      </c>
      <c r="G18" s="68">
        <f t="shared" ref="G18:M18" si="54">G22+G26</f>
        <v>1476.58</v>
      </c>
      <c r="H18" s="68">
        <f t="shared" si="54"/>
        <v>1601.83</v>
      </c>
      <c r="I18" s="68">
        <f t="shared" si="54"/>
        <v>1059.3</v>
      </c>
      <c r="J18" s="68">
        <f t="shared" si="54"/>
        <v>1326.7</v>
      </c>
      <c r="K18" s="68">
        <f t="shared" si="54"/>
        <v>1575.4</v>
      </c>
      <c r="L18" s="68">
        <f t="shared" si="54"/>
        <v>375.88800000000003</v>
      </c>
      <c r="M18" s="68">
        <f t="shared" si="54"/>
        <v>551.79999999999995</v>
      </c>
      <c r="N18" s="159">
        <f>N22+N26</f>
        <v>8060.01</v>
      </c>
      <c r="O18" s="63">
        <f>Q18+S18+U18+W18+Y18+AA18+AC18</f>
        <v>0</v>
      </c>
      <c r="P18" s="69">
        <f t="shared" ref="P18" si="55">P22+P26</f>
        <v>1498</v>
      </c>
      <c r="Q18" s="68">
        <f t="shared" ref="Q18:R18" si="56">Q22+Q26</f>
        <v>0</v>
      </c>
      <c r="R18" s="69">
        <f t="shared" si="56"/>
        <v>1629.3200000000002</v>
      </c>
      <c r="S18" s="68">
        <f t="shared" ref="S18:T18" si="57">S22+S26</f>
        <v>0</v>
      </c>
      <c r="T18" s="69">
        <f t="shared" si="57"/>
        <v>1080.5999999999999</v>
      </c>
      <c r="U18" s="68">
        <f t="shared" ref="U18:V18" si="58">U22+U26</f>
        <v>0</v>
      </c>
      <c r="V18" s="69">
        <f t="shared" si="58"/>
        <v>1344.9</v>
      </c>
      <c r="W18" s="68">
        <f t="shared" ref="W18:X18" si="59">W22+W26</f>
        <v>0</v>
      </c>
      <c r="X18" s="69">
        <f t="shared" si="59"/>
        <v>1573.1999999999998</v>
      </c>
      <c r="Y18" s="68">
        <f t="shared" ref="Y18:Z18" si="60">Y22+Y26</f>
        <v>0</v>
      </c>
      <c r="Z18" s="69">
        <f t="shared" si="60"/>
        <v>378.28999999999996</v>
      </c>
      <c r="AA18" s="68">
        <f t="shared" ref="AA18:AB18" si="61">AA22+AA26</f>
        <v>0</v>
      </c>
      <c r="AB18" s="69">
        <f t="shared" si="61"/>
        <v>555.70000000000005</v>
      </c>
      <c r="AC18" s="68">
        <f t="shared" ref="AC18" si="62">AC22+AC26</f>
        <v>0</v>
      </c>
      <c r="AD18" s="68"/>
      <c r="AE18" s="68"/>
    </row>
    <row r="19" spans="1:31" s="12" customFormat="1" ht="22.5" customHeight="1">
      <c r="A19" s="70" t="s">
        <v>6</v>
      </c>
      <c r="B19" s="71" t="s">
        <v>13</v>
      </c>
      <c r="C19" s="71" t="s">
        <v>39</v>
      </c>
      <c r="D19" s="55"/>
      <c r="E19" s="56"/>
      <c r="F19" s="56"/>
      <c r="G19" s="62"/>
      <c r="H19" s="62"/>
      <c r="I19" s="62"/>
      <c r="J19" s="62"/>
      <c r="K19" s="62"/>
      <c r="L19" s="62"/>
      <c r="M19" s="62"/>
      <c r="N19" s="161"/>
      <c r="O19" s="56"/>
      <c r="P19" s="66"/>
      <c r="Q19" s="62"/>
      <c r="R19" s="66"/>
      <c r="S19" s="62"/>
      <c r="T19" s="66"/>
      <c r="U19" s="62"/>
      <c r="V19" s="66"/>
      <c r="W19" s="62"/>
      <c r="X19" s="66"/>
      <c r="Y19" s="62"/>
      <c r="Z19" s="66"/>
      <c r="AA19" s="62"/>
      <c r="AB19" s="66"/>
      <c r="AC19" s="62"/>
      <c r="AD19" s="62"/>
      <c r="AE19" s="62"/>
    </row>
    <row r="20" spans="1:31" ht="22.5" customHeight="1">
      <c r="A20" s="52" t="s">
        <v>34</v>
      </c>
      <c r="B20" s="61" t="s">
        <v>10</v>
      </c>
      <c r="C20" s="59" t="s">
        <v>1</v>
      </c>
      <c r="D20" s="62">
        <v>523</v>
      </c>
      <c r="E20" s="72">
        <v>528</v>
      </c>
      <c r="F20" s="63">
        <f>G20+H20+I20+J20+K20+L20+M20</f>
        <v>528.52</v>
      </c>
      <c r="G20" s="62">
        <v>113.8</v>
      </c>
      <c r="H20" s="62">
        <v>107.7</v>
      </c>
      <c r="I20" s="62">
        <v>63</v>
      </c>
      <c r="J20" s="62">
        <v>83</v>
      </c>
      <c r="K20" s="62">
        <v>98</v>
      </c>
      <c r="L20" s="62">
        <v>24.02</v>
      </c>
      <c r="M20" s="62">
        <v>39</v>
      </c>
      <c r="N20" s="162">
        <f>P20+R20+T20+V20+X20+Z20+AB20</f>
        <v>528.52</v>
      </c>
      <c r="O20" s="63">
        <f>Q20+S20+U20+W20+Y20+AA20+AC20</f>
        <v>528.52</v>
      </c>
      <c r="P20" s="74">
        <v>113.5</v>
      </c>
      <c r="Q20" s="62">
        <f>113.8</f>
        <v>113.8</v>
      </c>
      <c r="R20" s="74">
        <v>108</v>
      </c>
      <c r="S20" s="62">
        <f>107.7</f>
        <v>107.7</v>
      </c>
      <c r="T20" s="74">
        <v>63</v>
      </c>
      <c r="U20" s="62">
        <f>63</f>
        <v>63</v>
      </c>
      <c r="V20" s="74">
        <v>83</v>
      </c>
      <c r="W20" s="62">
        <f>83</f>
        <v>83</v>
      </c>
      <c r="X20" s="74">
        <v>98</v>
      </c>
      <c r="Y20" s="62">
        <v>98</v>
      </c>
      <c r="Z20" s="74">
        <v>24.02</v>
      </c>
      <c r="AA20" s="62">
        <f>24.02</f>
        <v>24.02</v>
      </c>
      <c r="AB20" s="74">
        <v>39</v>
      </c>
      <c r="AC20" s="62">
        <f>39</f>
        <v>39</v>
      </c>
      <c r="AD20" s="63">
        <f>O20/N20*100</f>
        <v>100</v>
      </c>
      <c r="AE20" s="62"/>
    </row>
    <row r="21" spans="1:31" ht="22.5" customHeight="1">
      <c r="A21" s="52" t="s">
        <v>34</v>
      </c>
      <c r="B21" s="61" t="s">
        <v>11</v>
      </c>
      <c r="C21" s="59" t="s">
        <v>2</v>
      </c>
      <c r="D21" s="63">
        <v>63</v>
      </c>
      <c r="E21" s="63">
        <f>E22/E20*10</f>
        <v>63.482954545454547</v>
      </c>
      <c r="F21" s="63">
        <f>F22/F20*10</f>
        <v>63.481381972300014</v>
      </c>
      <c r="G21" s="68">
        <v>61</v>
      </c>
      <c r="H21" s="68">
        <v>63</v>
      </c>
      <c r="I21" s="68">
        <v>61</v>
      </c>
      <c r="J21" s="68">
        <v>62</v>
      </c>
      <c r="K21" s="68">
        <v>71</v>
      </c>
      <c r="L21" s="68">
        <v>64</v>
      </c>
      <c r="M21" s="68">
        <v>60</v>
      </c>
      <c r="N21" s="160">
        <f>N22/N20*10</f>
        <v>64.297093771285859</v>
      </c>
      <c r="O21" s="63">
        <f>O22/O20*10</f>
        <v>0</v>
      </c>
      <c r="P21" s="75">
        <v>62</v>
      </c>
      <c r="Q21" s="68"/>
      <c r="R21" s="76">
        <v>64</v>
      </c>
      <c r="S21" s="68"/>
      <c r="T21" s="76">
        <v>62</v>
      </c>
      <c r="U21" s="68"/>
      <c r="V21" s="76">
        <v>63</v>
      </c>
      <c r="W21" s="68"/>
      <c r="X21" s="76">
        <v>71</v>
      </c>
      <c r="Y21" s="68"/>
      <c r="Z21" s="76">
        <v>65</v>
      </c>
      <c r="AA21" s="68"/>
      <c r="AB21" s="76">
        <v>61</v>
      </c>
      <c r="AC21" s="68"/>
      <c r="AD21" s="68"/>
      <c r="AE21" s="68"/>
    </row>
    <row r="22" spans="1:31" ht="22.5" customHeight="1">
      <c r="A22" s="52" t="s">
        <v>34</v>
      </c>
      <c r="B22" s="61" t="s">
        <v>12</v>
      </c>
      <c r="C22" s="59" t="s">
        <v>36</v>
      </c>
      <c r="D22" s="68">
        <v>3313</v>
      </c>
      <c r="E22" s="63">
        <v>3351.9</v>
      </c>
      <c r="F22" s="63">
        <f>G22+H22+I22+J22+K22+L22+M22</f>
        <v>3355.1180000000004</v>
      </c>
      <c r="G22" s="68">
        <f t="shared" ref="G22:H22" si="63">G21*G20/10</f>
        <v>694.18000000000006</v>
      </c>
      <c r="H22" s="68">
        <f t="shared" si="63"/>
        <v>678.51</v>
      </c>
      <c r="I22" s="68">
        <f>I21*I20/10</f>
        <v>384.3</v>
      </c>
      <c r="J22" s="68">
        <f t="shared" ref="J22:M22" si="64">J21*J20/10</f>
        <v>514.6</v>
      </c>
      <c r="K22" s="68">
        <f t="shared" si="64"/>
        <v>695.8</v>
      </c>
      <c r="L22" s="68">
        <f t="shared" si="64"/>
        <v>153.72800000000001</v>
      </c>
      <c r="M22" s="68">
        <f t="shared" si="64"/>
        <v>234</v>
      </c>
      <c r="N22" s="160">
        <f>P22+R22+T22+V22+X22+Z22+AB22</f>
        <v>3398.23</v>
      </c>
      <c r="O22" s="63">
        <f>Q22+S22+U22+W22+Y22+AA22+AC22</f>
        <v>0</v>
      </c>
      <c r="P22" s="75">
        <f t="shared" ref="P22" si="65">P21*P20/10</f>
        <v>703.7</v>
      </c>
      <c r="Q22" s="68">
        <f t="shared" ref="Q22:R22" si="66">Q21*Q20/10</f>
        <v>0</v>
      </c>
      <c r="R22" s="76">
        <f t="shared" si="66"/>
        <v>691.2</v>
      </c>
      <c r="S22" s="68">
        <f t="shared" ref="S22:T22" si="67">S21*S20/10</f>
        <v>0</v>
      </c>
      <c r="T22" s="76">
        <f t="shared" si="67"/>
        <v>390.6</v>
      </c>
      <c r="U22" s="68">
        <f>U21*U20/10</f>
        <v>0</v>
      </c>
      <c r="V22" s="76">
        <f t="shared" ref="V22" si="68">V21*V20/10</f>
        <v>522.9</v>
      </c>
      <c r="W22" s="68">
        <f t="shared" ref="W22:X22" si="69">W21*W20/10</f>
        <v>0</v>
      </c>
      <c r="X22" s="76">
        <f t="shared" si="69"/>
        <v>695.8</v>
      </c>
      <c r="Y22" s="68">
        <f t="shared" ref="Y22:Z22" si="70">Y21*Y20/10</f>
        <v>0</v>
      </c>
      <c r="Z22" s="76">
        <f t="shared" si="70"/>
        <v>156.13</v>
      </c>
      <c r="AA22" s="68">
        <f t="shared" ref="AA22:AB22" si="71">AA21*AA20/10</f>
        <v>0</v>
      </c>
      <c r="AB22" s="76">
        <f t="shared" si="71"/>
        <v>237.9</v>
      </c>
      <c r="AC22" s="68">
        <f t="shared" ref="AC22" si="72">AC21*AC20/10</f>
        <v>0</v>
      </c>
      <c r="AD22" s="68"/>
      <c r="AE22" s="68"/>
    </row>
    <row r="23" spans="1:31" ht="22.5" customHeight="1">
      <c r="A23" s="70" t="s">
        <v>7</v>
      </c>
      <c r="B23" s="71" t="s">
        <v>42</v>
      </c>
      <c r="C23" s="59" t="s">
        <v>39</v>
      </c>
      <c r="D23" s="62"/>
      <c r="E23" s="56"/>
      <c r="F23" s="56"/>
      <c r="G23" s="62"/>
      <c r="H23" s="64"/>
      <c r="I23" s="62"/>
      <c r="J23" s="64"/>
      <c r="K23" s="62"/>
      <c r="L23" s="64"/>
      <c r="M23" s="62"/>
      <c r="N23" s="161"/>
      <c r="O23" s="56"/>
      <c r="P23" s="77"/>
      <c r="Q23" s="62"/>
      <c r="R23" s="78"/>
      <c r="S23" s="64"/>
      <c r="T23" s="77"/>
      <c r="U23" s="62"/>
      <c r="V23" s="78"/>
      <c r="W23" s="64"/>
      <c r="X23" s="78"/>
      <c r="Y23" s="62"/>
      <c r="Z23" s="78"/>
      <c r="AA23" s="64"/>
      <c r="AB23" s="78"/>
      <c r="AC23" s="62"/>
      <c r="AD23" s="62"/>
      <c r="AE23" s="62"/>
    </row>
    <row r="24" spans="1:31" ht="22.5" customHeight="1">
      <c r="A24" s="52" t="s">
        <v>34</v>
      </c>
      <c r="B24" s="61" t="s">
        <v>10</v>
      </c>
      <c r="C24" s="52" t="s">
        <v>1</v>
      </c>
      <c r="D24" s="62">
        <v>1013</v>
      </c>
      <c r="E24" s="63">
        <f>E28+E32</f>
        <v>991</v>
      </c>
      <c r="F24" s="63">
        <f>F28+F32</f>
        <v>982.7</v>
      </c>
      <c r="G24" s="63">
        <f t="shared" ref="G24:M24" si="73">G28+G32</f>
        <v>155</v>
      </c>
      <c r="H24" s="63">
        <f t="shared" si="73"/>
        <v>158.80000000000001</v>
      </c>
      <c r="I24" s="63">
        <f t="shared" si="73"/>
        <v>195</v>
      </c>
      <c r="J24" s="63">
        <f t="shared" si="73"/>
        <v>213</v>
      </c>
      <c r="K24" s="63">
        <f t="shared" si="73"/>
        <v>142</v>
      </c>
      <c r="L24" s="63">
        <f t="shared" si="73"/>
        <v>41.9</v>
      </c>
      <c r="M24" s="63">
        <f t="shared" si="73"/>
        <v>77</v>
      </c>
      <c r="N24" s="162">
        <f>N28+N32</f>
        <v>982.7</v>
      </c>
      <c r="O24" s="63">
        <f>O28+O32</f>
        <v>0</v>
      </c>
      <c r="P24" s="66">
        <f t="shared" ref="P24" si="74">P28+P32</f>
        <v>155</v>
      </c>
      <c r="Q24" s="63">
        <f t="shared" ref="Q24:R24" si="75">Q28+Q32</f>
        <v>0</v>
      </c>
      <c r="R24" s="67">
        <f t="shared" si="75"/>
        <v>158.80000000000001</v>
      </c>
      <c r="S24" s="63">
        <f t="shared" ref="S24:T24" si="76">S28+S32</f>
        <v>0</v>
      </c>
      <c r="T24" s="66">
        <f t="shared" si="76"/>
        <v>195</v>
      </c>
      <c r="U24" s="63">
        <f t="shared" ref="U24:V24" si="77">U28+U32</f>
        <v>0</v>
      </c>
      <c r="V24" s="67">
        <f t="shared" si="77"/>
        <v>213</v>
      </c>
      <c r="W24" s="63">
        <f t="shared" ref="W24:X24" si="78">W28+W32</f>
        <v>0</v>
      </c>
      <c r="X24" s="67">
        <f t="shared" si="78"/>
        <v>142</v>
      </c>
      <c r="Y24" s="63">
        <f t="shared" ref="Y24:Z24" si="79">Y28+Y32</f>
        <v>0</v>
      </c>
      <c r="Z24" s="67">
        <f t="shared" si="79"/>
        <v>41.9</v>
      </c>
      <c r="AA24" s="63">
        <f t="shared" ref="AA24:AB24" si="80">AA28+AA32</f>
        <v>0</v>
      </c>
      <c r="AB24" s="67">
        <f t="shared" si="80"/>
        <v>77</v>
      </c>
      <c r="AC24" s="63">
        <f t="shared" ref="AC24" si="81">AC28+AC32</f>
        <v>0</v>
      </c>
      <c r="AD24" s="63"/>
      <c r="AE24" s="63"/>
    </row>
    <row r="25" spans="1:31" ht="22.5" customHeight="1">
      <c r="A25" s="52" t="s">
        <v>34</v>
      </c>
      <c r="B25" s="61" t="s">
        <v>11</v>
      </c>
      <c r="C25" s="59" t="s">
        <v>2</v>
      </c>
      <c r="D25" s="68">
        <v>46</v>
      </c>
      <c r="E25" s="63">
        <f>E26/E24*10</f>
        <v>46.819374369323924</v>
      </c>
      <c r="F25" s="63">
        <f>F26/F24*10</f>
        <v>46.935789152335403</v>
      </c>
      <c r="G25" s="68">
        <f>G26/G24*10</f>
        <v>50.477419354838709</v>
      </c>
      <c r="H25" s="68">
        <f t="shared" ref="H25:M25" si="82">H26/H24*10</f>
        <v>58.143576826196465</v>
      </c>
      <c r="I25" s="68">
        <f t="shared" si="82"/>
        <v>34.615384615384613</v>
      </c>
      <c r="J25" s="68">
        <f t="shared" si="82"/>
        <v>38.12676056338028</v>
      </c>
      <c r="K25" s="68">
        <f t="shared" si="82"/>
        <v>61.943661971830991</v>
      </c>
      <c r="L25" s="68">
        <f t="shared" si="82"/>
        <v>53.021479713603824</v>
      </c>
      <c r="M25" s="68">
        <f t="shared" si="82"/>
        <v>41.272727272727266</v>
      </c>
      <c r="N25" s="162">
        <f>N26/N24*10</f>
        <v>47.438485804416395</v>
      </c>
      <c r="O25" s="63"/>
      <c r="P25" s="69">
        <f t="shared" ref="P25" si="83">P26/P24*10</f>
        <v>51.245161290322578</v>
      </c>
      <c r="Q25" s="68"/>
      <c r="R25" s="69">
        <f t="shared" ref="R25" si="84">R26/R24*10</f>
        <v>59.075566750629719</v>
      </c>
      <c r="S25" s="68"/>
      <c r="T25" s="69">
        <f t="shared" ref="T25" si="85">T26/T24*10</f>
        <v>35.384615384615387</v>
      </c>
      <c r="U25" s="68"/>
      <c r="V25" s="69">
        <f t="shared" ref="V25" si="86">V26/V24*10</f>
        <v>38.591549295774648</v>
      </c>
      <c r="W25" s="68"/>
      <c r="X25" s="69">
        <f t="shared" ref="X25" si="87">X26/X24*10</f>
        <v>61.788732394366193</v>
      </c>
      <c r="Y25" s="68"/>
      <c r="Z25" s="69">
        <f t="shared" ref="Z25" si="88">Z26/Z24*10</f>
        <v>53.021479713603824</v>
      </c>
      <c r="AA25" s="68"/>
      <c r="AB25" s="69">
        <f t="shared" ref="AB25" si="89">AB26/AB24*10</f>
        <v>41.272727272727266</v>
      </c>
      <c r="AC25" s="68"/>
      <c r="AD25" s="68"/>
      <c r="AE25" s="68"/>
    </row>
    <row r="26" spans="1:31" ht="22.5" customHeight="1">
      <c r="A26" s="52" t="s">
        <v>34</v>
      </c>
      <c r="B26" s="61" t="s">
        <v>12</v>
      </c>
      <c r="C26" s="59" t="s">
        <v>36</v>
      </c>
      <c r="D26" s="68">
        <v>4699</v>
      </c>
      <c r="E26" s="63">
        <f>E30+E34</f>
        <v>4639.8</v>
      </c>
      <c r="F26" s="63">
        <f>G26+H26+I26+J26+K26+L26+M26</f>
        <v>4612.38</v>
      </c>
      <c r="G26" s="68">
        <f>G30+G34</f>
        <v>782.4</v>
      </c>
      <c r="H26" s="68">
        <f t="shared" ref="H26:M26" si="90">H30+H34</f>
        <v>923.31999999999994</v>
      </c>
      <c r="I26" s="68">
        <f t="shared" si="90"/>
        <v>675</v>
      </c>
      <c r="J26" s="68">
        <f t="shared" si="90"/>
        <v>812.1</v>
      </c>
      <c r="K26" s="68">
        <f t="shared" si="90"/>
        <v>879.6</v>
      </c>
      <c r="L26" s="68">
        <f t="shared" si="90"/>
        <v>222.16</v>
      </c>
      <c r="M26" s="68">
        <f t="shared" si="90"/>
        <v>317.8</v>
      </c>
      <c r="N26" s="162">
        <f>N30+N34</f>
        <v>4661.78</v>
      </c>
      <c r="O26" s="63">
        <f>Q26+S26+U26+W26+Y26+AA26+AC26</f>
        <v>0</v>
      </c>
      <c r="P26" s="69">
        <f t="shared" ref="P26" si="91">P30+P34</f>
        <v>794.3</v>
      </c>
      <c r="Q26" s="68">
        <f>Q30+Q34</f>
        <v>0</v>
      </c>
      <c r="R26" s="69">
        <f t="shared" ref="R26" si="92">R30+R34</f>
        <v>938.12</v>
      </c>
      <c r="S26" s="68">
        <f t="shared" ref="S26:T26" si="93">S30+S34</f>
        <v>0</v>
      </c>
      <c r="T26" s="69">
        <f t="shared" si="93"/>
        <v>690</v>
      </c>
      <c r="U26" s="68">
        <f t="shared" ref="U26:V26" si="94">U30+U34</f>
        <v>0</v>
      </c>
      <c r="V26" s="69">
        <f t="shared" si="94"/>
        <v>822</v>
      </c>
      <c r="W26" s="68">
        <f t="shared" ref="W26:X26" si="95">W30+W34</f>
        <v>0</v>
      </c>
      <c r="X26" s="69">
        <f t="shared" si="95"/>
        <v>877.4</v>
      </c>
      <c r="Y26" s="68">
        <f t="shared" ref="Y26:Z26" si="96">Y30+Y34</f>
        <v>0</v>
      </c>
      <c r="Z26" s="69">
        <f t="shared" si="96"/>
        <v>222.16</v>
      </c>
      <c r="AA26" s="68">
        <f t="shared" ref="AA26:AB26" si="97">AA30+AA34</f>
        <v>0</v>
      </c>
      <c r="AB26" s="69">
        <f t="shared" si="97"/>
        <v>317.8</v>
      </c>
      <c r="AC26" s="68">
        <f t="shared" ref="AC26" si="98">AC30+AC34</f>
        <v>0</v>
      </c>
      <c r="AD26" s="68"/>
      <c r="AE26" s="68"/>
    </row>
    <row r="27" spans="1:31" ht="22.5" customHeight="1">
      <c r="A27" s="52" t="s">
        <v>67</v>
      </c>
      <c r="B27" s="79" t="s">
        <v>37</v>
      </c>
      <c r="C27" s="59" t="s">
        <v>39</v>
      </c>
      <c r="D27" s="62"/>
      <c r="E27" s="56"/>
      <c r="F27" s="56"/>
      <c r="G27" s="68"/>
      <c r="H27" s="68"/>
      <c r="I27" s="68"/>
      <c r="J27" s="68"/>
      <c r="K27" s="68"/>
      <c r="L27" s="68"/>
      <c r="M27" s="68"/>
      <c r="N27" s="162"/>
      <c r="O27" s="56"/>
      <c r="P27" s="69"/>
      <c r="Q27" s="68"/>
      <c r="R27" s="69"/>
      <c r="S27" s="68"/>
      <c r="T27" s="69"/>
      <c r="U27" s="68"/>
      <c r="V27" s="69"/>
      <c r="W27" s="68"/>
      <c r="X27" s="69"/>
      <c r="Y27" s="68"/>
      <c r="Z27" s="69"/>
      <c r="AA27" s="68"/>
      <c r="AB27" s="69"/>
      <c r="AC27" s="68"/>
      <c r="AD27" s="68"/>
      <c r="AE27" s="68"/>
    </row>
    <row r="28" spans="1:31" ht="22.5" customHeight="1">
      <c r="A28" s="52" t="s">
        <v>34</v>
      </c>
      <c r="B28" s="61" t="s">
        <v>10</v>
      </c>
      <c r="C28" s="59" t="s">
        <v>1</v>
      </c>
      <c r="D28" s="68">
        <v>637</v>
      </c>
      <c r="E28" s="63">
        <v>639</v>
      </c>
      <c r="F28" s="63">
        <f>G28+H28+I28+J28+K28+L28+M28</f>
        <v>634.9</v>
      </c>
      <c r="G28" s="68">
        <v>119</v>
      </c>
      <c r="H28" s="68">
        <v>148</v>
      </c>
      <c r="I28" s="68">
        <v>75</v>
      </c>
      <c r="J28" s="68">
        <v>99</v>
      </c>
      <c r="K28" s="68">
        <v>120</v>
      </c>
      <c r="L28" s="68">
        <v>31.9</v>
      </c>
      <c r="M28" s="68">
        <v>42</v>
      </c>
      <c r="N28" s="162">
        <f>P28+R28+T28+V28+X28+Z28+AB28</f>
        <v>634.9</v>
      </c>
      <c r="O28" s="63">
        <f>Q28+S28+U28+W28+Y28+AA28+AC28</f>
        <v>0</v>
      </c>
      <c r="P28" s="80">
        <v>119</v>
      </c>
      <c r="Q28" s="68">
        <f>119-119</f>
        <v>0</v>
      </c>
      <c r="R28" s="80">
        <v>148</v>
      </c>
      <c r="S28" s="68">
        <f>148-148</f>
        <v>0</v>
      </c>
      <c r="T28" s="80">
        <v>75</v>
      </c>
      <c r="U28" s="68">
        <f>75-75</f>
        <v>0</v>
      </c>
      <c r="V28" s="80">
        <v>99</v>
      </c>
      <c r="W28" s="68">
        <f>99-99</f>
        <v>0</v>
      </c>
      <c r="X28" s="80">
        <v>120</v>
      </c>
      <c r="Y28" s="68">
        <f>120-120</f>
        <v>0</v>
      </c>
      <c r="Z28" s="80">
        <v>31.9</v>
      </c>
      <c r="AA28" s="68">
        <f>31.9-31.9</f>
        <v>0</v>
      </c>
      <c r="AB28" s="80">
        <v>42</v>
      </c>
      <c r="AC28" s="68">
        <f>42-42</f>
        <v>0</v>
      </c>
      <c r="AD28" s="68"/>
      <c r="AE28" s="68"/>
    </row>
    <row r="29" spans="1:31" ht="22.5" customHeight="1">
      <c r="A29" s="52" t="s">
        <v>35</v>
      </c>
      <c r="B29" s="61" t="s">
        <v>11</v>
      </c>
      <c r="C29" s="59" t="s">
        <v>2</v>
      </c>
      <c r="D29" s="68">
        <v>62</v>
      </c>
      <c r="E29" s="63">
        <f>E30/E28*10</f>
        <v>61.813771517996869</v>
      </c>
      <c r="F29" s="63">
        <f>F30/F28*10</f>
        <v>61.865805638683263</v>
      </c>
      <c r="G29" s="68">
        <v>60</v>
      </c>
      <c r="H29" s="68">
        <v>61</v>
      </c>
      <c r="I29" s="68">
        <v>58</v>
      </c>
      <c r="J29" s="68">
        <v>59</v>
      </c>
      <c r="K29" s="68">
        <v>70</v>
      </c>
      <c r="L29" s="68">
        <v>64</v>
      </c>
      <c r="M29" s="68">
        <v>59</v>
      </c>
      <c r="N29" s="162">
        <f>N30/N28*10</f>
        <v>62.6785320522917</v>
      </c>
      <c r="O29" s="63"/>
      <c r="P29" s="69">
        <v>61</v>
      </c>
      <c r="Q29" s="68"/>
      <c r="R29" s="69">
        <v>62</v>
      </c>
      <c r="S29" s="68"/>
      <c r="T29" s="69">
        <v>60</v>
      </c>
      <c r="U29" s="68"/>
      <c r="V29" s="69">
        <v>60</v>
      </c>
      <c r="W29" s="68"/>
      <c r="X29" s="69">
        <v>70</v>
      </c>
      <c r="Y29" s="68"/>
      <c r="Z29" s="69">
        <v>64</v>
      </c>
      <c r="AA29" s="68"/>
      <c r="AB29" s="69">
        <v>59</v>
      </c>
      <c r="AC29" s="68"/>
      <c r="AD29" s="68"/>
      <c r="AE29" s="68"/>
    </row>
    <row r="30" spans="1:31" ht="22.5" customHeight="1">
      <c r="A30" s="52" t="s">
        <v>34</v>
      </c>
      <c r="B30" s="61" t="s">
        <v>12</v>
      </c>
      <c r="C30" s="59" t="s">
        <v>36</v>
      </c>
      <c r="D30" s="68">
        <v>3953</v>
      </c>
      <c r="E30" s="63">
        <v>3949.9</v>
      </c>
      <c r="F30" s="63">
        <f>G30+H30+I30+J30+K30+L30+M30</f>
        <v>3927.86</v>
      </c>
      <c r="G30" s="68">
        <f>G29*G28/10</f>
        <v>714</v>
      </c>
      <c r="H30" s="68">
        <f t="shared" ref="H30:M30" si="99">H29*H28/10</f>
        <v>902.8</v>
      </c>
      <c r="I30" s="68">
        <f t="shared" si="99"/>
        <v>435</v>
      </c>
      <c r="J30" s="68">
        <f t="shared" si="99"/>
        <v>584.1</v>
      </c>
      <c r="K30" s="68">
        <f t="shared" si="99"/>
        <v>840</v>
      </c>
      <c r="L30" s="68">
        <f t="shared" si="99"/>
        <v>204.16</v>
      </c>
      <c r="M30" s="68">
        <f t="shared" si="99"/>
        <v>247.8</v>
      </c>
      <c r="N30" s="162">
        <f>P30+R30+T30+V30+X30+Z30+AB30</f>
        <v>3979.46</v>
      </c>
      <c r="O30" s="63">
        <f>Q30+S30+U30+W30+Y30+AA30+AC30</f>
        <v>0</v>
      </c>
      <c r="P30" s="69">
        <f t="shared" ref="P30" si="100">P29*P28/10</f>
        <v>725.9</v>
      </c>
      <c r="Q30" s="68">
        <f>Q29*Q28/10</f>
        <v>0</v>
      </c>
      <c r="R30" s="69">
        <f t="shared" ref="R30" si="101">R29*R28/10</f>
        <v>917.6</v>
      </c>
      <c r="S30" s="68">
        <f t="shared" ref="S30:T30" si="102">S29*S28/10</f>
        <v>0</v>
      </c>
      <c r="T30" s="69">
        <f t="shared" si="102"/>
        <v>450</v>
      </c>
      <c r="U30" s="68">
        <f t="shared" ref="U30:V30" si="103">U29*U28/10</f>
        <v>0</v>
      </c>
      <c r="V30" s="69">
        <f t="shared" si="103"/>
        <v>594</v>
      </c>
      <c r="W30" s="68">
        <f t="shared" ref="W30:X30" si="104">W29*W28/10</f>
        <v>0</v>
      </c>
      <c r="X30" s="69">
        <f t="shared" si="104"/>
        <v>840</v>
      </c>
      <c r="Y30" s="68">
        <f t="shared" ref="Y30:Z30" si="105">Y29*Y28/10</f>
        <v>0</v>
      </c>
      <c r="Z30" s="69">
        <f t="shared" si="105"/>
        <v>204.16</v>
      </c>
      <c r="AA30" s="68">
        <f t="shared" ref="AA30:AB30" si="106">AA29*AA28/10</f>
        <v>0</v>
      </c>
      <c r="AB30" s="69">
        <f t="shared" si="106"/>
        <v>247.8</v>
      </c>
      <c r="AC30" s="68">
        <f t="shared" ref="AC30" si="107">AC29*AC28/10</f>
        <v>0</v>
      </c>
      <c r="AD30" s="68"/>
      <c r="AE30" s="68"/>
    </row>
    <row r="31" spans="1:31" ht="22.5" customHeight="1">
      <c r="A31" s="52" t="s">
        <v>68</v>
      </c>
      <c r="B31" s="79" t="s">
        <v>64</v>
      </c>
      <c r="C31" s="59" t="s">
        <v>39</v>
      </c>
      <c r="D31" s="62"/>
      <c r="E31" s="56"/>
      <c r="F31" s="56"/>
      <c r="G31" s="68"/>
      <c r="H31" s="68"/>
      <c r="I31" s="68"/>
      <c r="J31" s="68"/>
      <c r="K31" s="68"/>
      <c r="L31" s="68"/>
      <c r="M31" s="68"/>
      <c r="N31" s="162"/>
      <c r="O31" s="56"/>
      <c r="P31" s="69"/>
      <c r="Q31" s="68"/>
      <c r="R31" s="69"/>
      <c r="S31" s="68"/>
      <c r="T31" s="69"/>
      <c r="U31" s="68"/>
      <c r="V31" s="69"/>
      <c r="W31" s="68"/>
      <c r="X31" s="69"/>
      <c r="Y31" s="68"/>
      <c r="Z31" s="69"/>
      <c r="AA31" s="68"/>
      <c r="AB31" s="69"/>
      <c r="AC31" s="68"/>
      <c r="AD31" s="68"/>
      <c r="AE31" s="68"/>
    </row>
    <row r="32" spans="1:31" ht="22.5" customHeight="1">
      <c r="A32" s="52" t="s">
        <v>34</v>
      </c>
      <c r="B32" s="61" t="s">
        <v>10</v>
      </c>
      <c r="C32" s="59" t="s">
        <v>1</v>
      </c>
      <c r="D32" s="68">
        <v>376</v>
      </c>
      <c r="E32" s="63">
        <v>352</v>
      </c>
      <c r="F32" s="63">
        <f>G32+H32+I32+J32+K32+L32+M32</f>
        <v>347.8</v>
      </c>
      <c r="G32" s="68">
        <v>36</v>
      </c>
      <c r="H32" s="68">
        <v>10.8</v>
      </c>
      <c r="I32" s="68">
        <v>120</v>
      </c>
      <c r="J32" s="68">
        <v>114</v>
      </c>
      <c r="K32" s="68">
        <v>22</v>
      </c>
      <c r="L32" s="68">
        <v>10</v>
      </c>
      <c r="M32" s="68">
        <v>35</v>
      </c>
      <c r="N32" s="162">
        <f>P32+R32+T32+V32+X32+Z32+AB32</f>
        <v>347.8</v>
      </c>
      <c r="O32" s="63">
        <f>Q32+S32+U32+W32+Y32+AA32+AC32</f>
        <v>0</v>
      </c>
      <c r="P32" s="80">
        <v>36</v>
      </c>
      <c r="Q32" s="68">
        <f>36-36</f>
        <v>0</v>
      </c>
      <c r="R32" s="80">
        <v>10.8</v>
      </c>
      <c r="S32" s="68">
        <f>10.8-10.8</f>
        <v>0</v>
      </c>
      <c r="T32" s="80">
        <v>120</v>
      </c>
      <c r="U32" s="68">
        <f>120-120</f>
        <v>0</v>
      </c>
      <c r="V32" s="80">
        <v>114</v>
      </c>
      <c r="W32" s="68">
        <f>114-114</f>
        <v>0</v>
      </c>
      <c r="X32" s="80">
        <v>22</v>
      </c>
      <c r="Y32" s="68">
        <f>22-22</f>
        <v>0</v>
      </c>
      <c r="Z32" s="80">
        <v>10</v>
      </c>
      <c r="AA32" s="68">
        <f>10-10</f>
        <v>0</v>
      </c>
      <c r="AB32" s="80">
        <v>35</v>
      </c>
      <c r="AC32" s="68">
        <f>35-35</f>
        <v>0</v>
      </c>
      <c r="AD32" s="68"/>
      <c r="AE32" s="68"/>
    </row>
    <row r="33" spans="1:31" ht="22.5" customHeight="1">
      <c r="A33" s="52" t="s">
        <v>35</v>
      </c>
      <c r="B33" s="61" t="s">
        <v>11</v>
      </c>
      <c r="C33" s="59" t="s">
        <v>2</v>
      </c>
      <c r="D33" s="68">
        <v>20</v>
      </c>
      <c r="E33" s="63">
        <f>E34/E32*10</f>
        <v>19.59943181818182</v>
      </c>
      <c r="F33" s="63">
        <f>F34/F32*10</f>
        <v>19.681426106958025</v>
      </c>
      <c r="G33" s="68">
        <v>19</v>
      </c>
      <c r="H33" s="68">
        <v>19</v>
      </c>
      <c r="I33" s="68">
        <v>20</v>
      </c>
      <c r="J33" s="68">
        <v>20</v>
      </c>
      <c r="K33" s="68">
        <v>18</v>
      </c>
      <c r="L33" s="68">
        <v>18</v>
      </c>
      <c r="M33" s="68">
        <v>20</v>
      </c>
      <c r="N33" s="162">
        <f>N34/N32*10</f>
        <v>19.618171362852216</v>
      </c>
      <c r="O33" s="63"/>
      <c r="P33" s="69">
        <v>19</v>
      </c>
      <c r="Q33" s="68"/>
      <c r="R33" s="69">
        <v>19</v>
      </c>
      <c r="S33" s="68"/>
      <c r="T33" s="69">
        <v>20</v>
      </c>
      <c r="U33" s="68"/>
      <c r="V33" s="69">
        <v>20</v>
      </c>
      <c r="W33" s="68"/>
      <c r="X33" s="69">
        <v>17</v>
      </c>
      <c r="Y33" s="68"/>
      <c r="Z33" s="69">
        <v>18</v>
      </c>
      <c r="AA33" s="68"/>
      <c r="AB33" s="69">
        <v>20</v>
      </c>
      <c r="AC33" s="68"/>
      <c r="AD33" s="68"/>
      <c r="AE33" s="68"/>
    </row>
    <row r="34" spans="1:31" ht="22.5" customHeight="1">
      <c r="A34" s="52" t="s">
        <v>34</v>
      </c>
      <c r="B34" s="61" t="s">
        <v>12</v>
      </c>
      <c r="C34" s="59" t="s">
        <v>36</v>
      </c>
      <c r="D34" s="68">
        <v>746</v>
      </c>
      <c r="E34" s="63">
        <v>689.9</v>
      </c>
      <c r="F34" s="63">
        <f>G34+H34+I34+J34+K34+L34+M34</f>
        <v>684.5200000000001</v>
      </c>
      <c r="G34" s="68">
        <f>G33*G32/10</f>
        <v>68.400000000000006</v>
      </c>
      <c r="H34" s="68">
        <f t="shared" ref="H34:M34" si="108">H33*H32/10</f>
        <v>20.520000000000003</v>
      </c>
      <c r="I34" s="68">
        <f t="shared" si="108"/>
        <v>240</v>
      </c>
      <c r="J34" s="68">
        <f t="shared" si="108"/>
        <v>228</v>
      </c>
      <c r="K34" s="68">
        <f t="shared" si="108"/>
        <v>39.6</v>
      </c>
      <c r="L34" s="68">
        <f t="shared" si="108"/>
        <v>18</v>
      </c>
      <c r="M34" s="68">
        <f t="shared" si="108"/>
        <v>70</v>
      </c>
      <c r="N34" s="162">
        <f>P34+R34+T34+V34+X34+Z34+AB34</f>
        <v>682.32</v>
      </c>
      <c r="O34" s="63">
        <f>Q34+S34+U34+W34+Y34+AA34+AC34</f>
        <v>0</v>
      </c>
      <c r="P34" s="69">
        <f t="shared" ref="P34" si="109">P33*P32/10</f>
        <v>68.400000000000006</v>
      </c>
      <c r="Q34" s="68">
        <f>Q33*Q32/10</f>
        <v>0</v>
      </c>
      <c r="R34" s="69">
        <f t="shared" ref="R34" si="110">R33*R32/10</f>
        <v>20.520000000000003</v>
      </c>
      <c r="S34" s="68">
        <f t="shared" ref="S34:T34" si="111">S33*S32/10</f>
        <v>0</v>
      </c>
      <c r="T34" s="69">
        <f t="shared" si="111"/>
        <v>240</v>
      </c>
      <c r="U34" s="68">
        <f t="shared" ref="U34:V34" si="112">U33*U32/10</f>
        <v>0</v>
      </c>
      <c r="V34" s="69">
        <f t="shared" si="112"/>
        <v>228</v>
      </c>
      <c r="W34" s="68">
        <f t="shared" ref="W34:X34" si="113">W33*W32/10</f>
        <v>0</v>
      </c>
      <c r="X34" s="69">
        <f t="shared" si="113"/>
        <v>37.4</v>
      </c>
      <c r="Y34" s="68">
        <f t="shared" ref="Y34:Z34" si="114">Y33*Y32/10</f>
        <v>0</v>
      </c>
      <c r="Z34" s="69">
        <f t="shared" si="114"/>
        <v>18</v>
      </c>
      <c r="AA34" s="68">
        <f t="shared" ref="AA34:AB34" si="115">AA33*AA32/10</f>
        <v>0</v>
      </c>
      <c r="AB34" s="69">
        <f t="shared" si="115"/>
        <v>70</v>
      </c>
      <c r="AC34" s="68">
        <f t="shared" ref="AC34" si="116">AC33*AC32/10</f>
        <v>0</v>
      </c>
      <c r="AD34" s="68"/>
      <c r="AE34" s="68"/>
    </row>
    <row r="35" spans="1:31" ht="22.5" customHeight="1">
      <c r="A35" s="58">
        <v>2</v>
      </c>
      <c r="B35" s="53" t="s">
        <v>65</v>
      </c>
      <c r="C35" s="59" t="s">
        <v>39</v>
      </c>
      <c r="D35" s="68"/>
      <c r="E35" s="56"/>
      <c r="F35" s="56"/>
      <c r="G35" s="68"/>
      <c r="H35" s="68"/>
      <c r="I35" s="68"/>
      <c r="J35" s="68"/>
      <c r="K35" s="68"/>
      <c r="L35" s="68"/>
      <c r="M35" s="68"/>
      <c r="N35" s="162"/>
      <c r="O35" s="56"/>
      <c r="P35" s="69"/>
      <c r="Q35" s="68"/>
      <c r="R35" s="69"/>
      <c r="S35" s="68"/>
      <c r="T35" s="69"/>
      <c r="U35" s="68"/>
      <c r="V35" s="69"/>
      <c r="W35" s="68"/>
      <c r="X35" s="69"/>
      <c r="Y35" s="68"/>
      <c r="Z35" s="69"/>
      <c r="AA35" s="68"/>
      <c r="AB35" s="69"/>
      <c r="AC35" s="68"/>
      <c r="AD35" s="68"/>
      <c r="AE35" s="68"/>
    </row>
    <row r="36" spans="1:31" ht="22.5" customHeight="1">
      <c r="A36" s="52" t="s">
        <v>34</v>
      </c>
      <c r="B36" s="61" t="s">
        <v>10</v>
      </c>
      <c r="C36" s="59" t="s">
        <v>1</v>
      </c>
      <c r="D36" s="68">
        <v>777</v>
      </c>
      <c r="E36" s="63">
        <f>E39+E43+E47</f>
        <v>783.5</v>
      </c>
      <c r="F36" s="63">
        <f>F39+F43+F47</f>
        <v>783.5</v>
      </c>
      <c r="G36" s="68">
        <f t="shared" ref="G36:M36" si="117">G39+G43+G47</f>
        <v>140</v>
      </c>
      <c r="H36" s="68">
        <f t="shared" si="117"/>
        <v>131</v>
      </c>
      <c r="I36" s="68">
        <f t="shared" si="117"/>
        <v>68.5</v>
      </c>
      <c r="J36" s="68">
        <f t="shared" si="117"/>
        <v>92</v>
      </c>
      <c r="K36" s="68">
        <f t="shared" si="117"/>
        <v>132</v>
      </c>
      <c r="L36" s="68">
        <f t="shared" si="117"/>
        <v>46</v>
      </c>
      <c r="M36" s="68">
        <f t="shared" si="117"/>
        <v>174</v>
      </c>
      <c r="N36" s="159">
        <f>N39+N43+N47</f>
        <v>783.5</v>
      </c>
      <c r="O36" s="63">
        <f>O39+O43+O47</f>
        <v>10</v>
      </c>
      <c r="P36" s="80">
        <f t="shared" ref="P36" si="118">P39+P43+P47</f>
        <v>140</v>
      </c>
      <c r="Q36" s="68">
        <f t="shared" ref="Q36:R36" si="119">Q39+Q43+Q47</f>
        <v>0</v>
      </c>
      <c r="R36" s="80">
        <f t="shared" si="119"/>
        <v>131</v>
      </c>
      <c r="S36" s="68">
        <f t="shared" ref="S36:T36" si="120">S39+S43+S47</f>
        <v>0</v>
      </c>
      <c r="T36" s="80">
        <f t="shared" si="120"/>
        <v>68.5</v>
      </c>
      <c r="U36" s="68">
        <f t="shared" ref="U36:V36" si="121">U39+U43+U47</f>
        <v>6</v>
      </c>
      <c r="V36" s="80">
        <f t="shared" si="121"/>
        <v>92</v>
      </c>
      <c r="W36" s="68">
        <f t="shared" ref="W36:X36" si="122">W39+W43+W47</f>
        <v>4</v>
      </c>
      <c r="X36" s="80">
        <f t="shared" si="122"/>
        <v>132</v>
      </c>
      <c r="Y36" s="68">
        <f t="shared" ref="Y36:Z36" si="123">Y39+Y43+Y47</f>
        <v>0</v>
      </c>
      <c r="Z36" s="80">
        <f t="shared" si="123"/>
        <v>46</v>
      </c>
      <c r="AA36" s="68">
        <f t="shared" ref="AA36:AB36" si="124">AA39+AA43+AA47</f>
        <v>0</v>
      </c>
      <c r="AB36" s="80">
        <f t="shared" si="124"/>
        <v>174</v>
      </c>
      <c r="AC36" s="68">
        <f t="shared" ref="AC36" si="125">AC39+AC43+AC47</f>
        <v>0</v>
      </c>
      <c r="AD36" s="63">
        <f>O36/N36*100</f>
        <v>1.2763241863433312</v>
      </c>
      <c r="AE36" s="68"/>
    </row>
    <row r="37" spans="1:31" ht="22.5" customHeight="1">
      <c r="A37" s="52" t="s">
        <v>35</v>
      </c>
      <c r="B37" s="61" t="s">
        <v>11</v>
      </c>
      <c r="C37" s="59" t="s">
        <v>2</v>
      </c>
      <c r="D37" s="68">
        <v>59</v>
      </c>
      <c r="E37" s="63">
        <f>E38/E36*10</f>
        <v>58.442884492661136</v>
      </c>
      <c r="F37" s="63">
        <f>F38/F36*10</f>
        <v>58.422463305679656</v>
      </c>
      <c r="G37" s="68"/>
      <c r="H37" s="68"/>
      <c r="I37" s="68">
        <f>I38/I36*10</f>
        <v>55.605839416058387</v>
      </c>
      <c r="J37" s="68">
        <f>J38/J36*10</f>
        <v>60.5</v>
      </c>
      <c r="K37" s="68"/>
      <c r="L37" s="68"/>
      <c r="M37" s="68"/>
      <c r="N37" s="160">
        <f>N38/N36*10</f>
        <v>58.442884492661136</v>
      </c>
      <c r="O37" s="63">
        <f>O38/O36*10</f>
        <v>0</v>
      </c>
      <c r="P37" s="69">
        <f>P38/P36*10</f>
        <v>55.885714285714279</v>
      </c>
      <c r="Q37" s="68"/>
      <c r="R37" s="69">
        <f t="shared" ref="R37" si="126">R38/R36*10</f>
        <v>56.55725190839695</v>
      </c>
      <c r="S37" s="68"/>
      <c r="T37" s="69">
        <f t="shared" ref="T37" si="127">T38/T36*10</f>
        <v>55.605839416058387</v>
      </c>
      <c r="U37" s="68">
        <f>U38/U36*10</f>
        <v>0</v>
      </c>
      <c r="V37" s="69">
        <f t="shared" ref="V37" si="128">V38/V36*10</f>
        <v>60.5</v>
      </c>
      <c r="W37" s="68">
        <f>W38/W36*10</f>
        <v>0</v>
      </c>
      <c r="X37" s="69">
        <f t="shared" ref="X37" si="129">X38/X36*10</f>
        <v>61.454545454545453</v>
      </c>
      <c r="Y37" s="68"/>
      <c r="Z37" s="69">
        <f t="shared" ref="Z37" si="130">Z38/Z36*10</f>
        <v>59.130434782608688</v>
      </c>
      <c r="AA37" s="68"/>
      <c r="AB37" s="69">
        <f t="shared" ref="AB37" si="131">AB38/AB36*10</f>
        <v>59.482758620689651</v>
      </c>
      <c r="AC37" s="68"/>
      <c r="AD37" s="68"/>
      <c r="AE37" s="68"/>
    </row>
    <row r="38" spans="1:31" ht="22.5" customHeight="1">
      <c r="A38" s="52" t="s">
        <v>34</v>
      </c>
      <c r="B38" s="61" t="s">
        <v>12</v>
      </c>
      <c r="C38" s="59" t="s">
        <v>36</v>
      </c>
      <c r="D38" s="68">
        <v>4551</v>
      </c>
      <c r="E38" s="63">
        <f>E41+E45+E49</f>
        <v>4579</v>
      </c>
      <c r="F38" s="63">
        <f>F41+F45+F49</f>
        <v>4577.4000000000005</v>
      </c>
      <c r="G38" s="68">
        <f t="shared" ref="G38:M38" si="132">G41+G45+G49</f>
        <v>782.4</v>
      </c>
      <c r="H38" s="68">
        <f t="shared" si="132"/>
        <v>740.9</v>
      </c>
      <c r="I38" s="68">
        <f t="shared" si="132"/>
        <v>380.9</v>
      </c>
      <c r="J38" s="68">
        <f t="shared" si="132"/>
        <v>556.6</v>
      </c>
      <c r="K38" s="68">
        <f t="shared" si="132"/>
        <v>811.2</v>
      </c>
      <c r="L38" s="68">
        <f t="shared" si="132"/>
        <v>270.39999999999998</v>
      </c>
      <c r="M38" s="68">
        <f t="shared" si="132"/>
        <v>1035</v>
      </c>
      <c r="N38" s="159">
        <f>N41+N45+N49</f>
        <v>4579</v>
      </c>
      <c r="O38" s="63">
        <f>O41+O45+O49</f>
        <v>0</v>
      </c>
      <c r="P38" s="69">
        <f t="shared" ref="P38" si="133">P41+P45+P49</f>
        <v>782.4</v>
      </c>
      <c r="Q38" s="68">
        <f t="shared" ref="Q38:R38" si="134">Q41+Q45+Q49</f>
        <v>0</v>
      </c>
      <c r="R38" s="69">
        <f t="shared" si="134"/>
        <v>740.9</v>
      </c>
      <c r="S38" s="68">
        <f t="shared" ref="S38:T38" si="135">S41+S45+S49</f>
        <v>0</v>
      </c>
      <c r="T38" s="69">
        <f t="shared" si="135"/>
        <v>380.9</v>
      </c>
      <c r="U38" s="68">
        <f t="shared" ref="U38:V38" si="136">U41+U45+U49</f>
        <v>0</v>
      </c>
      <c r="V38" s="69">
        <f t="shared" si="136"/>
        <v>556.6</v>
      </c>
      <c r="W38" s="68">
        <f t="shared" ref="W38:X38" si="137">W41+W45+W49</f>
        <v>0</v>
      </c>
      <c r="X38" s="69">
        <f t="shared" si="137"/>
        <v>811.2</v>
      </c>
      <c r="Y38" s="68">
        <f t="shared" ref="Y38:Z38" si="138">Y41+Y45+Y49</f>
        <v>0</v>
      </c>
      <c r="Z38" s="69">
        <f t="shared" si="138"/>
        <v>272</v>
      </c>
      <c r="AA38" s="68">
        <f t="shared" ref="AA38:AB38" si="139">AA41+AA45+AA49</f>
        <v>0</v>
      </c>
      <c r="AB38" s="69">
        <f t="shared" si="139"/>
        <v>1035</v>
      </c>
      <c r="AC38" s="68">
        <f t="shared" ref="AC38" si="140">AC41+AC45+AC49</f>
        <v>0</v>
      </c>
      <c r="AD38" s="68"/>
      <c r="AE38" s="68"/>
    </row>
    <row r="39" spans="1:31" s="13" customFormat="1" ht="22.5" customHeight="1">
      <c r="A39" s="81" t="s">
        <v>33</v>
      </c>
      <c r="B39" s="79" t="s">
        <v>73</v>
      </c>
      <c r="C39" s="82" t="s">
        <v>1</v>
      </c>
      <c r="D39" s="83">
        <v>12</v>
      </c>
      <c r="E39" s="63">
        <v>10</v>
      </c>
      <c r="F39" s="63">
        <f>G39+H39+I39+J39+K39+L39+M39</f>
        <v>10</v>
      </c>
      <c r="G39" s="83">
        <v>0</v>
      </c>
      <c r="H39" s="83">
        <v>0</v>
      </c>
      <c r="I39" s="83">
        <v>6</v>
      </c>
      <c r="J39" s="83">
        <v>4</v>
      </c>
      <c r="K39" s="83">
        <v>0</v>
      </c>
      <c r="L39" s="83"/>
      <c r="M39" s="83">
        <v>0</v>
      </c>
      <c r="N39" s="162">
        <f>P39+R39+T39+V39+X39+Z39+AB39</f>
        <v>10</v>
      </c>
      <c r="O39" s="63">
        <f>Q39+S39+U39+W39+Y39+AA39+AC39</f>
        <v>10</v>
      </c>
      <c r="P39" s="84">
        <v>0</v>
      </c>
      <c r="Q39" s="83">
        <v>0</v>
      </c>
      <c r="R39" s="84">
        <v>0</v>
      </c>
      <c r="S39" s="83">
        <v>0</v>
      </c>
      <c r="T39" s="84">
        <v>6</v>
      </c>
      <c r="U39" s="83">
        <v>6</v>
      </c>
      <c r="V39" s="84">
        <v>4</v>
      </c>
      <c r="W39" s="83">
        <v>4</v>
      </c>
      <c r="X39" s="84">
        <v>0</v>
      </c>
      <c r="Y39" s="83">
        <v>0</v>
      </c>
      <c r="Z39" s="84">
        <v>0</v>
      </c>
      <c r="AA39" s="83"/>
      <c r="AB39" s="84">
        <v>0</v>
      </c>
      <c r="AC39" s="83">
        <v>0</v>
      </c>
      <c r="AD39" s="63">
        <f>O39/N39*100</f>
        <v>100</v>
      </c>
      <c r="AE39" s="83"/>
    </row>
    <row r="40" spans="1:31" ht="22.5" customHeight="1">
      <c r="A40" s="52" t="s">
        <v>3</v>
      </c>
      <c r="B40" s="61" t="s">
        <v>11</v>
      </c>
      <c r="C40" s="59" t="s">
        <v>2</v>
      </c>
      <c r="D40" s="68">
        <v>54</v>
      </c>
      <c r="E40" s="63">
        <f>E41/E39*10</f>
        <v>54.399999999999991</v>
      </c>
      <c r="F40" s="63">
        <f>F41/F39*10</f>
        <v>54.399999999999991</v>
      </c>
      <c r="G40" s="68"/>
      <c r="H40" s="68"/>
      <c r="I40" s="68">
        <v>54</v>
      </c>
      <c r="J40" s="68">
        <v>55</v>
      </c>
      <c r="K40" s="68"/>
      <c r="L40" s="68"/>
      <c r="M40" s="68"/>
      <c r="N40" s="162">
        <f>N41/N39*10</f>
        <v>54.399999999999991</v>
      </c>
      <c r="O40" s="63">
        <f>O41/O39*10</f>
        <v>0</v>
      </c>
      <c r="P40" s="69">
        <v>0</v>
      </c>
      <c r="Q40" s="68"/>
      <c r="R40" s="69">
        <v>0</v>
      </c>
      <c r="S40" s="68"/>
      <c r="T40" s="69">
        <v>54</v>
      </c>
      <c r="U40" s="68"/>
      <c r="V40" s="69">
        <v>55</v>
      </c>
      <c r="W40" s="68"/>
      <c r="X40" s="69"/>
      <c r="Y40" s="68"/>
      <c r="Z40" s="69">
        <v>0</v>
      </c>
      <c r="AA40" s="68"/>
      <c r="AB40" s="69">
        <v>0</v>
      </c>
      <c r="AC40" s="68"/>
      <c r="AD40" s="68"/>
      <c r="AE40" s="68"/>
    </row>
    <row r="41" spans="1:31" ht="22.5" customHeight="1">
      <c r="A41" s="52" t="s">
        <v>3</v>
      </c>
      <c r="B41" s="61" t="s">
        <v>12</v>
      </c>
      <c r="C41" s="59" t="s">
        <v>36</v>
      </c>
      <c r="D41" s="68">
        <v>62</v>
      </c>
      <c r="E41" s="63">
        <v>54.4</v>
      </c>
      <c r="F41" s="63">
        <f>SUM(G41:M41)</f>
        <v>54.4</v>
      </c>
      <c r="G41" s="68">
        <v>0</v>
      </c>
      <c r="H41" s="68">
        <v>0</v>
      </c>
      <c r="I41" s="68">
        <f>I40*I39/10</f>
        <v>32.4</v>
      </c>
      <c r="J41" s="68">
        <f>J40*J39/10</f>
        <v>22</v>
      </c>
      <c r="K41" s="68">
        <v>0</v>
      </c>
      <c r="L41" s="68">
        <f>L40*L39/10</f>
        <v>0</v>
      </c>
      <c r="M41" s="68">
        <v>0</v>
      </c>
      <c r="N41" s="162">
        <f>P41+R41+T41+V41+X41+Z41+AB41</f>
        <v>54.4</v>
      </c>
      <c r="O41" s="63">
        <f>Q41+S41+U41+W41+Y41+AA41+AC41</f>
        <v>0</v>
      </c>
      <c r="P41" s="69">
        <v>0</v>
      </c>
      <c r="Q41" s="68">
        <v>0</v>
      </c>
      <c r="R41" s="69">
        <v>0</v>
      </c>
      <c r="S41" s="68">
        <v>0</v>
      </c>
      <c r="T41" s="69">
        <f>T40*T39/10</f>
        <v>32.4</v>
      </c>
      <c r="U41" s="68">
        <f>U40*U39/10</f>
        <v>0</v>
      </c>
      <c r="V41" s="69">
        <f>V40*V39/10</f>
        <v>22</v>
      </c>
      <c r="W41" s="68">
        <f>W40*W39/10</f>
        <v>0</v>
      </c>
      <c r="X41" s="69">
        <v>0</v>
      </c>
      <c r="Y41" s="68">
        <v>0</v>
      </c>
      <c r="Z41" s="69">
        <f>Z40*Z39/10</f>
        <v>0</v>
      </c>
      <c r="AA41" s="68">
        <f>AA40*AA39/10</f>
        <v>0</v>
      </c>
      <c r="AB41" s="69">
        <v>0</v>
      </c>
      <c r="AC41" s="68">
        <v>0</v>
      </c>
      <c r="AD41" s="68"/>
      <c r="AE41" s="68"/>
    </row>
    <row r="42" spans="1:31" s="13" customFormat="1" ht="22.5" customHeight="1">
      <c r="A42" s="81" t="s">
        <v>15</v>
      </c>
      <c r="B42" s="79" t="s">
        <v>46</v>
      </c>
      <c r="C42" s="82" t="s">
        <v>39</v>
      </c>
      <c r="D42" s="83"/>
      <c r="E42" s="56"/>
      <c r="F42" s="56"/>
      <c r="G42" s="83"/>
      <c r="H42" s="83"/>
      <c r="I42" s="83"/>
      <c r="J42" s="83"/>
      <c r="K42" s="83"/>
      <c r="L42" s="83"/>
      <c r="M42" s="83"/>
      <c r="N42" s="163"/>
      <c r="O42" s="56"/>
      <c r="P42" s="84"/>
      <c r="Q42" s="83"/>
      <c r="R42" s="84"/>
      <c r="S42" s="83"/>
      <c r="T42" s="84"/>
      <c r="U42" s="83"/>
      <c r="V42" s="84"/>
      <c r="W42" s="83"/>
      <c r="X42" s="84"/>
      <c r="Y42" s="83"/>
      <c r="Z42" s="84"/>
      <c r="AA42" s="83"/>
      <c r="AB42" s="84"/>
      <c r="AC42" s="83"/>
      <c r="AD42" s="83"/>
      <c r="AE42" s="83"/>
    </row>
    <row r="43" spans="1:31" ht="22.5" customHeight="1">
      <c r="A43" s="52" t="s">
        <v>34</v>
      </c>
      <c r="B43" s="61" t="s">
        <v>10</v>
      </c>
      <c r="C43" s="59" t="s">
        <v>1</v>
      </c>
      <c r="D43" s="68">
        <v>625</v>
      </c>
      <c r="E43" s="63">
        <v>630.5</v>
      </c>
      <c r="F43" s="63">
        <f>G43+H43+I43+J43+K43+L43+M43</f>
        <v>626.5</v>
      </c>
      <c r="G43" s="68">
        <v>124</v>
      </c>
      <c r="H43" s="68">
        <v>102</v>
      </c>
      <c r="I43" s="68">
        <v>47.5</v>
      </c>
      <c r="J43" s="68">
        <v>66</v>
      </c>
      <c r="K43" s="68">
        <v>96</v>
      </c>
      <c r="L43" s="68">
        <v>32</v>
      </c>
      <c r="M43" s="68">
        <v>159</v>
      </c>
      <c r="N43" s="162">
        <f>P43+R43+T43+V43+X43+Z43+AB43</f>
        <v>630.5</v>
      </c>
      <c r="O43" s="63">
        <f>Q43+S43+U43+W43+Y43+AA43+AC43</f>
        <v>0</v>
      </c>
      <c r="P43" s="69">
        <v>124</v>
      </c>
      <c r="Q43" s="68">
        <f>124-124</f>
        <v>0</v>
      </c>
      <c r="R43" s="69">
        <v>102</v>
      </c>
      <c r="S43" s="68">
        <f>102-102</f>
        <v>0</v>
      </c>
      <c r="T43" s="69">
        <v>47.5</v>
      </c>
      <c r="U43" s="68">
        <f>47.5-47.5</f>
        <v>0</v>
      </c>
      <c r="V43" s="69">
        <v>66</v>
      </c>
      <c r="W43" s="68">
        <f>66-66</f>
        <v>0</v>
      </c>
      <c r="X43" s="69">
        <v>96</v>
      </c>
      <c r="Y43" s="68">
        <f>96-96</f>
        <v>0</v>
      </c>
      <c r="Z43" s="69">
        <v>36</v>
      </c>
      <c r="AA43" s="68">
        <f>32-32</f>
        <v>0</v>
      </c>
      <c r="AB43" s="69">
        <v>159</v>
      </c>
      <c r="AC43" s="68">
        <f>159-159</f>
        <v>0</v>
      </c>
      <c r="AD43" s="68"/>
      <c r="AE43" s="68"/>
    </row>
    <row r="44" spans="1:31" ht="22.5" customHeight="1">
      <c r="A44" s="52" t="s">
        <v>35</v>
      </c>
      <c r="B44" s="61" t="s">
        <v>11</v>
      </c>
      <c r="C44" s="59" t="s">
        <v>2</v>
      </c>
      <c r="D44" s="68">
        <v>59</v>
      </c>
      <c r="E44" s="63">
        <f>E45/E43*10</f>
        <v>58.835844567803335</v>
      </c>
      <c r="F44" s="63">
        <f>F45/F43*10</f>
        <v>58.828411811652039</v>
      </c>
      <c r="G44" s="68">
        <v>56</v>
      </c>
      <c r="H44" s="68">
        <v>57</v>
      </c>
      <c r="I44" s="68">
        <v>56</v>
      </c>
      <c r="J44" s="68">
        <v>61</v>
      </c>
      <c r="K44" s="68">
        <v>62</v>
      </c>
      <c r="L44" s="68">
        <v>60</v>
      </c>
      <c r="M44" s="68">
        <v>60</v>
      </c>
      <c r="N44" s="162">
        <f>N45/N43*10</f>
        <v>58.835844567803335</v>
      </c>
      <c r="O44" s="63"/>
      <c r="P44" s="69">
        <v>56</v>
      </c>
      <c r="Q44" s="68"/>
      <c r="R44" s="69">
        <v>57</v>
      </c>
      <c r="S44" s="68"/>
      <c r="T44" s="69">
        <v>56</v>
      </c>
      <c r="U44" s="68"/>
      <c r="V44" s="69">
        <v>61</v>
      </c>
      <c r="W44" s="68"/>
      <c r="X44" s="69">
        <v>62</v>
      </c>
      <c r="Y44" s="68"/>
      <c r="Z44" s="69">
        <v>60</v>
      </c>
      <c r="AA44" s="68"/>
      <c r="AB44" s="69">
        <v>60</v>
      </c>
      <c r="AC44" s="68"/>
      <c r="AD44" s="68"/>
      <c r="AE44" s="68"/>
    </row>
    <row r="45" spans="1:31" ht="22.5" customHeight="1">
      <c r="A45" s="52" t="s">
        <v>34</v>
      </c>
      <c r="B45" s="61" t="s">
        <v>12</v>
      </c>
      <c r="C45" s="59" t="s">
        <v>36</v>
      </c>
      <c r="D45" s="68">
        <v>3679</v>
      </c>
      <c r="E45" s="63">
        <v>3709.6000000000004</v>
      </c>
      <c r="F45" s="63">
        <f>G45+H45+I45+J45+K45+L45+M45</f>
        <v>3685.6000000000004</v>
      </c>
      <c r="G45" s="68">
        <f t="shared" ref="G45:M45" si="141">G44*G43/10</f>
        <v>694.4</v>
      </c>
      <c r="H45" s="68">
        <f t="shared" si="141"/>
        <v>581.4</v>
      </c>
      <c r="I45" s="68">
        <f t="shared" si="141"/>
        <v>266</v>
      </c>
      <c r="J45" s="68">
        <f t="shared" si="141"/>
        <v>402.6</v>
      </c>
      <c r="K45" s="68">
        <f t="shared" si="141"/>
        <v>595.20000000000005</v>
      </c>
      <c r="L45" s="68">
        <f t="shared" si="141"/>
        <v>192</v>
      </c>
      <c r="M45" s="68">
        <f t="shared" si="141"/>
        <v>954</v>
      </c>
      <c r="N45" s="162">
        <f>P45+R45+T45+V45+X45+Z45+AB45</f>
        <v>3709.6000000000004</v>
      </c>
      <c r="O45" s="63">
        <f>Q45+S45+U45+W45+Y45+AA45+AC45</f>
        <v>0</v>
      </c>
      <c r="P45" s="69">
        <f t="shared" ref="P45" si="142">P44*P43/10</f>
        <v>694.4</v>
      </c>
      <c r="Q45" s="68">
        <f t="shared" ref="Q45:R45" si="143">Q44*Q43/10</f>
        <v>0</v>
      </c>
      <c r="R45" s="69">
        <f t="shared" si="143"/>
        <v>581.4</v>
      </c>
      <c r="S45" s="68">
        <f t="shared" ref="S45:T45" si="144">S44*S43/10</f>
        <v>0</v>
      </c>
      <c r="T45" s="69">
        <f t="shared" si="144"/>
        <v>266</v>
      </c>
      <c r="U45" s="68">
        <f t="shared" ref="U45:V45" si="145">U44*U43/10</f>
        <v>0</v>
      </c>
      <c r="V45" s="69">
        <f t="shared" si="145"/>
        <v>402.6</v>
      </c>
      <c r="W45" s="68">
        <f t="shared" ref="W45:X45" si="146">W44*W43/10</f>
        <v>0</v>
      </c>
      <c r="X45" s="69">
        <f t="shared" si="146"/>
        <v>595.20000000000005</v>
      </c>
      <c r="Y45" s="68">
        <f t="shared" ref="Y45:Z45" si="147">Y44*Y43/10</f>
        <v>0</v>
      </c>
      <c r="Z45" s="69">
        <f t="shared" si="147"/>
        <v>216</v>
      </c>
      <c r="AA45" s="68">
        <f t="shared" ref="AA45:AB45" si="148">AA44*AA43/10</f>
        <v>0</v>
      </c>
      <c r="AB45" s="69">
        <f t="shared" si="148"/>
        <v>954</v>
      </c>
      <c r="AC45" s="68">
        <f t="shared" ref="AC45" si="149">AC44*AC43/10</f>
        <v>0</v>
      </c>
      <c r="AD45" s="68"/>
      <c r="AE45" s="68"/>
    </row>
    <row r="46" spans="1:31" s="13" customFormat="1" ht="22.5" customHeight="1">
      <c r="A46" s="81" t="s">
        <v>89</v>
      </c>
      <c r="B46" s="79" t="s">
        <v>38</v>
      </c>
      <c r="C46" s="85"/>
      <c r="D46" s="83"/>
      <c r="E46" s="56"/>
      <c r="F46" s="56"/>
      <c r="G46" s="83"/>
      <c r="H46" s="83"/>
      <c r="I46" s="83"/>
      <c r="J46" s="83"/>
      <c r="K46" s="83"/>
      <c r="L46" s="83"/>
      <c r="M46" s="83"/>
      <c r="N46" s="163"/>
      <c r="O46" s="56"/>
      <c r="P46" s="84"/>
      <c r="Q46" s="83"/>
      <c r="R46" s="84"/>
      <c r="S46" s="83"/>
      <c r="T46" s="84"/>
      <c r="U46" s="83"/>
      <c r="V46" s="84"/>
      <c r="W46" s="83"/>
      <c r="X46" s="84"/>
      <c r="Y46" s="83"/>
      <c r="Z46" s="84"/>
      <c r="AA46" s="83"/>
      <c r="AB46" s="84"/>
      <c r="AC46" s="83"/>
      <c r="AD46" s="83"/>
      <c r="AE46" s="83"/>
    </row>
    <row r="47" spans="1:31" ht="22.5" customHeight="1">
      <c r="A47" s="52" t="s">
        <v>34</v>
      </c>
      <c r="B47" s="61" t="s">
        <v>10</v>
      </c>
      <c r="C47" s="59" t="s">
        <v>1</v>
      </c>
      <c r="D47" s="68">
        <v>141</v>
      </c>
      <c r="E47" s="63">
        <v>143</v>
      </c>
      <c r="F47" s="63">
        <f>G47+H47+I47+J47+K47+L47+M47</f>
        <v>147</v>
      </c>
      <c r="G47" s="68">
        <v>16</v>
      </c>
      <c r="H47" s="68">
        <v>29</v>
      </c>
      <c r="I47" s="68">
        <v>15</v>
      </c>
      <c r="J47" s="68">
        <v>22</v>
      </c>
      <c r="K47" s="68">
        <v>36</v>
      </c>
      <c r="L47" s="68">
        <v>14</v>
      </c>
      <c r="M47" s="68">
        <v>15</v>
      </c>
      <c r="N47" s="162">
        <f>P47+R47+T47+V47+X47+Z47+AB47</f>
        <v>143</v>
      </c>
      <c r="O47" s="63">
        <f>Q47+S47+U47+W47+Y47+AA47+AC47</f>
        <v>0</v>
      </c>
      <c r="P47" s="69">
        <v>16</v>
      </c>
      <c r="Q47" s="68">
        <f>16-16</f>
        <v>0</v>
      </c>
      <c r="R47" s="69">
        <v>29</v>
      </c>
      <c r="S47" s="68">
        <f>29-29</f>
        <v>0</v>
      </c>
      <c r="T47" s="69">
        <v>15</v>
      </c>
      <c r="U47" s="68">
        <f>15-15</f>
        <v>0</v>
      </c>
      <c r="V47" s="69">
        <v>22</v>
      </c>
      <c r="W47" s="68">
        <f>22-22</f>
        <v>0</v>
      </c>
      <c r="X47" s="69">
        <v>36</v>
      </c>
      <c r="Y47" s="68">
        <f>36-36</f>
        <v>0</v>
      </c>
      <c r="Z47" s="69">
        <v>10</v>
      </c>
      <c r="AA47" s="68">
        <f>14-14</f>
        <v>0</v>
      </c>
      <c r="AB47" s="69">
        <v>15</v>
      </c>
      <c r="AC47" s="68">
        <f>15-15</f>
        <v>0</v>
      </c>
      <c r="AD47" s="68"/>
      <c r="AE47" s="68"/>
    </row>
    <row r="48" spans="1:31" ht="22.5" customHeight="1">
      <c r="A48" s="52" t="s">
        <v>35</v>
      </c>
      <c r="B48" s="61" t="s">
        <v>11</v>
      </c>
      <c r="C48" s="59" t="s">
        <v>2</v>
      </c>
      <c r="D48" s="68">
        <v>57</v>
      </c>
      <c r="E48" s="63">
        <f>E49/E47*10</f>
        <v>56.993006993006993</v>
      </c>
      <c r="F48" s="63">
        <f>F49/F47*10</f>
        <v>56.965986394557824</v>
      </c>
      <c r="G48" s="68">
        <v>55</v>
      </c>
      <c r="H48" s="68">
        <v>55</v>
      </c>
      <c r="I48" s="68">
        <v>55</v>
      </c>
      <c r="J48" s="68">
        <v>60</v>
      </c>
      <c r="K48" s="68">
        <v>60</v>
      </c>
      <c r="L48" s="68">
        <v>56</v>
      </c>
      <c r="M48" s="68">
        <v>54</v>
      </c>
      <c r="N48" s="162">
        <f>N49/N47*10</f>
        <v>56.993006993006993</v>
      </c>
      <c r="O48" s="63"/>
      <c r="P48" s="69">
        <v>55</v>
      </c>
      <c r="Q48" s="68"/>
      <c r="R48" s="69">
        <v>55</v>
      </c>
      <c r="S48" s="68"/>
      <c r="T48" s="69">
        <v>55</v>
      </c>
      <c r="U48" s="68"/>
      <c r="V48" s="69">
        <v>60</v>
      </c>
      <c r="W48" s="68"/>
      <c r="X48" s="69">
        <v>60</v>
      </c>
      <c r="Y48" s="68"/>
      <c r="Z48" s="69">
        <v>56</v>
      </c>
      <c r="AA48" s="68"/>
      <c r="AB48" s="69">
        <v>54</v>
      </c>
      <c r="AC48" s="68"/>
      <c r="AD48" s="68"/>
      <c r="AE48" s="68"/>
    </row>
    <row r="49" spans="1:31" ht="22.5" customHeight="1">
      <c r="A49" s="52" t="s">
        <v>34</v>
      </c>
      <c r="B49" s="61" t="s">
        <v>12</v>
      </c>
      <c r="C49" s="59" t="s">
        <v>36</v>
      </c>
      <c r="D49" s="68">
        <v>810</v>
      </c>
      <c r="E49" s="63">
        <v>815</v>
      </c>
      <c r="F49" s="63">
        <f>G49+H49+I49+J49+K49+L49+M49</f>
        <v>837.4</v>
      </c>
      <c r="G49" s="68">
        <f t="shared" ref="G49:M49" si="150">G48*G47/10</f>
        <v>88</v>
      </c>
      <c r="H49" s="68">
        <f t="shared" si="150"/>
        <v>159.5</v>
      </c>
      <c r="I49" s="68">
        <f t="shared" si="150"/>
        <v>82.5</v>
      </c>
      <c r="J49" s="68">
        <f t="shared" si="150"/>
        <v>132</v>
      </c>
      <c r="K49" s="68">
        <f t="shared" si="150"/>
        <v>216</v>
      </c>
      <c r="L49" s="68">
        <f t="shared" si="150"/>
        <v>78.400000000000006</v>
      </c>
      <c r="M49" s="68">
        <f t="shared" si="150"/>
        <v>81</v>
      </c>
      <c r="N49" s="162">
        <f>P49+R49+T49+V49+X49+Z49+AB49</f>
        <v>815</v>
      </c>
      <c r="O49" s="63">
        <f>Q49+S49+U49+W49+Y49+AA49+AC49</f>
        <v>0</v>
      </c>
      <c r="P49" s="69">
        <f t="shared" ref="P49" si="151">P48*P47/10</f>
        <v>88</v>
      </c>
      <c r="Q49" s="68">
        <f t="shared" ref="Q49:R49" si="152">Q48*Q47/10</f>
        <v>0</v>
      </c>
      <c r="R49" s="69">
        <f t="shared" si="152"/>
        <v>159.5</v>
      </c>
      <c r="S49" s="68">
        <f t="shared" ref="S49:T49" si="153">S48*S47/10</f>
        <v>0</v>
      </c>
      <c r="T49" s="69">
        <f t="shared" si="153"/>
        <v>82.5</v>
      </c>
      <c r="U49" s="68">
        <f t="shared" ref="U49:V49" si="154">U48*U47/10</f>
        <v>0</v>
      </c>
      <c r="V49" s="69">
        <f t="shared" si="154"/>
        <v>132</v>
      </c>
      <c r="W49" s="68">
        <f t="shared" ref="W49:X49" si="155">W48*W47/10</f>
        <v>0</v>
      </c>
      <c r="X49" s="69">
        <f t="shared" si="155"/>
        <v>216</v>
      </c>
      <c r="Y49" s="68">
        <f t="shared" ref="Y49:Z49" si="156">Y48*Y47/10</f>
        <v>0</v>
      </c>
      <c r="Z49" s="69">
        <f t="shared" si="156"/>
        <v>56</v>
      </c>
      <c r="AA49" s="68">
        <f t="shared" ref="AA49:AB49" si="157">AA48*AA47/10</f>
        <v>0</v>
      </c>
      <c r="AB49" s="69">
        <f t="shared" si="157"/>
        <v>81</v>
      </c>
      <c r="AC49" s="68">
        <f t="shared" ref="AC49" si="158">AC48*AC47/10</f>
        <v>0</v>
      </c>
      <c r="AD49" s="68"/>
      <c r="AE49" s="68"/>
    </row>
    <row r="50" spans="1:31" ht="22.5" customHeight="1">
      <c r="A50" s="58">
        <v>3</v>
      </c>
      <c r="B50" s="53" t="s">
        <v>69</v>
      </c>
      <c r="C50" s="54" t="s">
        <v>1</v>
      </c>
      <c r="D50" s="55">
        <v>4176</v>
      </c>
      <c r="E50" s="56">
        <f>E52+E56</f>
        <v>4051.2</v>
      </c>
      <c r="F50" s="56">
        <f>F52+F56</f>
        <v>3925.2200000000003</v>
      </c>
      <c r="G50" s="56">
        <f>G52+G56</f>
        <v>229.6</v>
      </c>
      <c r="H50" s="56">
        <f t="shared" ref="H50:M50" si="159">H52+H56</f>
        <v>784</v>
      </c>
      <c r="I50" s="56">
        <f t="shared" si="159"/>
        <v>882.05</v>
      </c>
      <c r="J50" s="56">
        <f t="shared" si="159"/>
        <v>538</v>
      </c>
      <c r="K50" s="56">
        <f t="shared" si="159"/>
        <v>911.69999999999993</v>
      </c>
      <c r="L50" s="56">
        <f t="shared" si="159"/>
        <v>356.66999999999996</v>
      </c>
      <c r="M50" s="56">
        <f t="shared" si="159"/>
        <v>223.2</v>
      </c>
      <c r="N50" s="164">
        <f>N52+N56</f>
        <v>3733.47</v>
      </c>
      <c r="O50" s="56">
        <f>O52+O56</f>
        <v>1638.98</v>
      </c>
      <c r="P50" s="86">
        <f t="shared" ref="P50" si="160">P52+P56</f>
        <v>218.6</v>
      </c>
      <c r="Q50" s="56">
        <f>Q52+Q56</f>
        <v>72.599999999999994</v>
      </c>
      <c r="R50" s="86">
        <f t="shared" ref="R50" si="161">R52+R56</f>
        <v>761.15</v>
      </c>
      <c r="S50" s="56">
        <f t="shared" ref="S50:T50" si="162">S52+S56</f>
        <v>361.9</v>
      </c>
      <c r="T50" s="86">
        <f t="shared" si="162"/>
        <v>835.05</v>
      </c>
      <c r="U50" s="56">
        <f t="shared" ref="U50:V50" si="163">U52+U56</f>
        <v>372.04999999999995</v>
      </c>
      <c r="V50" s="86">
        <f t="shared" si="163"/>
        <v>511</v>
      </c>
      <c r="W50" s="56">
        <f t="shared" ref="W50:X50" si="164">W52+W56</f>
        <v>217.44000000000005</v>
      </c>
      <c r="X50" s="86">
        <f t="shared" si="164"/>
        <v>886.7</v>
      </c>
      <c r="Y50" s="56">
        <f t="shared" ref="Y50:Z50" si="165">Y52+Y56</f>
        <v>400.21999999999991</v>
      </c>
      <c r="Z50" s="86">
        <f t="shared" si="165"/>
        <v>313.77000000000004</v>
      </c>
      <c r="AA50" s="56">
        <f t="shared" ref="AA50:AB50" si="166">AA52+AA56</f>
        <v>134.76999999999998</v>
      </c>
      <c r="AB50" s="86">
        <f t="shared" si="166"/>
        <v>207.2</v>
      </c>
      <c r="AC50" s="56">
        <f t="shared" ref="AC50" si="167">AC52+AC56</f>
        <v>80</v>
      </c>
      <c r="AD50" s="56">
        <f>O50/N50*100</f>
        <v>43.899642959498806</v>
      </c>
      <c r="AE50" s="56"/>
    </row>
    <row r="51" spans="1:31" ht="22.5" customHeight="1">
      <c r="A51" s="70" t="s">
        <v>90</v>
      </c>
      <c r="B51" s="71" t="s">
        <v>16</v>
      </c>
      <c r="C51" s="59" t="s">
        <v>39</v>
      </c>
      <c r="D51" s="68"/>
      <c r="E51" s="56"/>
      <c r="F51" s="56"/>
      <c r="G51" s="68"/>
      <c r="H51" s="68"/>
      <c r="I51" s="68"/>
      <c r="J51" s="68"/>
      <c r="K51" s="68"/>
      <c r="L51" s="68"/>
      <c r="M51" s="68"/>
      <c r="N51" s="162"/>
      <c r="O51" s="56"/>
      <c r="P51" s="76"/>
      <c r="Q51" s="68"/>
      <c r="R51" s="76"/>
      <c r="S51" s="68"/>
      <c r="T51" s="76"/>
      <c r="U51" s="68"/>
      <c r="V51" s="76"/>
      <c r="W51" s="68"/>
      <c r="X51" s="76"/>
      <c r="Y51" s="68"/>
      <c r="Z51" s="76"/>
      <c r="AA51" s="68"/>
      <c r="AB51" s="76"/>
      <c r="AC51" s="68"/>
      <c r="AD51" s="68"/>
      <c r="AE51" s="68"/>
    </row>
    <row r="52" spans="1:31" ht="22.5" customHeight="1">
      <c r="A52" s="52" t="s">
        <v>34</v>
      </c>
      <c r="B52" s="61" t="s">
        <v>10</v>
      </c>
      <c r="C52" s="59" t="s">
        <v>1</v>
      </c>
      <c r="D52" s="68">
        <v>13</v>
      </c>
      <c r="E52" s="63">
        <v>13.2</v>
      </c>
      <c r="F52" s="63">
        <f>G52+H52+I52+J52+K52+L52+M52</f>
        <v>9.2999999999999989</v>
      </c>
      <c r="G52" s="68">
        <v>0</v>
      </c>
      <c r="H52" s="68">
        <v>3.1</v>
      </c>
      <c r="I52" s="68">
        <v>0</v>
      </c>
      <c r="J52" s="68">
        <v>0</v>
      </c>
      <c r="K52" s="68">
        <v>0</v>
      </c>
      <c r="L52" s="68">
        <v>5</v>
      </c>
      <c r="M52" s="68">
        <v>1.2</v>
      </c>
      <c r="N52" s="162">
        <f>P52+R52+T52+V52+X52+Z52+AB52</f>
        <v>9.2999999999999989</v>
      </c>
      <c r="O52" s="63"/>
      <c r="P52" s="75">
        <v>0</v>
      </c>
      <c r="Q52" s="68"/>
      <c r="R52" s="75">
        <v>3.1</v>
      </c>
      <c r="S52" s="68"/>
      <c r="T52" s="75">
        <v>0</v>
      </c>
      <c r="U52" s="68"/>
      <c r="V52" s="75">
        <v>0</v>
      </c>
      <c r="W52" s="68"/>
      <c r="X52" s="75">
        <v>0</v>
      </c>
      <c r="Y52" s="68"/>
      <c r="Z52" s="75">
        <v>5</v>
      </c>
      <c r="AA52" s="68"/>
      <c r="AB52" s="75">
        <v>1.2</v>
      </c>
      <c r="AC52" s="68"/>
      <c r="AD52" s="68"/>
      <c r="AE52" s="68"/>
    </row>
    <row r="53" spans="1:31" ht="22.5" customHeight="1">
      <c r="A53" s="52" t="s">
        <v>35</v>
      </c>
      <c r="B53" s="61" t="s">
        <v>11</v>
      </c>
      <c r="C53" s="59" t="s">
        <v>2</v>
      </c>
      <c r="D53" s="68">
        <v>44</v>
      </c>
      <c r="E53" s="63">
        <f>E54/E52*10</f>
        <v>43.030303030303031</v>
      </c>
      <c r="F53" s="63">
        <f>F54/F52*10</f>
        <v>43.483870967741936</v>
      </c>
      <c r="G53" s="68">
        <v>0</v>
      </c>
      <c r="H53" s="68">
        <v>44</v>
      </c>
      <c r="I53" s="68"/>
      <c r="J53" s="68"/>
      <c r="K53" s="68">
        <v>0</v>
      </c>
      <c r="L53" s="68">
        <v>44</v>
      </c>
      <c r="M53" s="68">
        <v>40</v>
      </c>
      <c r="N53" s="162">
        <f>N54/N52*10</f>
        <v>43.483870967741936</v>
      </c>
      <c r="O53" s="63"/>
      <c r="P53" s="69">
        <v>0</v>
      </c>
      <c r="Q53" s="68">
        <v>0</v>
      </c>
      <c r="R53" s="69">
        <v>44</v>
      </c>
      <c r="S53" s="68"/>
      <c r="T53" s="69">
        <v>0</v>
      </c>
      <c r="U53" s="68"/>
      <c r="V53" s="69">
        <v>0</v>
      </c>
      <c r="W53" s="68"/>
      <c r="X53" s="69">
        <v>0</v>
      </c>
      <c r="Y53" s="68">
        <v>0</v>
      </c>
      <c r="Z53" s="69">
        <v>44</v>
      </c>
      <c r="AA53" s="68"/>
      <c r="AB53" s="69">
        <v>40</v>
      </c>
      <c r="AC53" s="68"/>
      <c r="AD53" s="68"/>
      <c r="AE53" s="68"/>
    </row>
    <row r="54" spans="1:31" ht="22.5" customHeight="1">
      <c r="A54" s="52" t="s">
        <v>34</v>
      </c>
      <c r="B54" s="61" t="s">
        <v>12</v>
      </c>
      <c r="C54" s="59" t="s">
        <v>36</v>
      </c>
      <c r="D54" s="68">
        <v>59</v>
      </c>
      <c r="E54" s="63">
        <v>56.8</v>
      </c>
      <c r="F54" s="63">
        <f>G54+H54+I54+J54+K54+L54+M54</f>
        <v>40.44</v>
      </c>
      <c r="G54" s="68">
        <f t="shared" ref="G54:M54" si="168">G53*G52/10</f>
        <v>0</v>
      </c>
      <c r="H54" s="68">
        <f t="shared" si="168"/>
        <v>13.64</v>
      </c>
      <c r="I54" s="68">
        <f t="shared" si="168"/>
        <v>0</v>
      </c>
      <c r="J54" s="68">
        <f t="shared" si="168"/>
        <v>0</v>
      </c>
      <c r="K54" s="68">
        <f t="shared" si="168"/>
        <v>0</v>
      </c>
      <c r="L54" s="68">
        <f t="shared" si="168"/>
        <v>22</v>
      </c>
      <c r="M54" s="68">
        <f t="shared" si="168"/>
        <v>4.8</v>
      </c>
      <c r="N54" s="162">
        <f>P54+R54+T54+V54+X54+Z54+AB54</f>
        <v>40.44</v>
      </c>
      <c r="O54" s="63">
        <f>Q54+S54+U54+W54+Y54+AA54+AC54</f>
        <v>0</v>
      </c>
      <c r="P54" s="69">
        <f>P53*P52/10</f>
        <v>0</v>
      </c>
      <c r="Q54" s="68">
        <f t="shared" ref="Q54:R54" si="169">Q53*Q52/10</f>
        <v>0</v>
      </c>
      <c r="R54" s="69">
        <f t="shared" si="169"/>
        <v>13.64</v>
      </c>
      <c r="S54" s="68">
        <f t="shared" ref="S54:T54" si="170">S53*S52/10</f>
        <v>0</v>
      </c>
      <c r="T54" s="69">
        <f t="shared" si="170"/>
        <v>0</v>
      </c>
      <c r="U54" s="68">
        <f t="shared" ref="U54:V54" si="171">U53*U52/10</f>
        <v>0</v>
      </c>
      <c r="V54" s="69">
        <f t="shared" si="171"/>
        <v>0</v>
      </c>
      <c r="W54" s="68">
        <f t="shared" ref="W54:X54" si="172">W53*W52/10</f>
        <v>0</v>
      </c>
      <c r="X54" s="69">
        <f t="shared" si="172"/>
        <v>0</v>
      </c>
      <c r="Y54" s="68">
        <f t="shared" ref="Y54:Z54" si="173">Y53*Y52/10</f>
        <v>0</v>
      </c>
      <c r="Z54" s="69">
        <f t="shared" si="173"/>
        <v>22</v>
      </c>
      <c r="AA54" s="68">
        <f t="shared" ref="AA54:AB54" si="174">AA53*AA52/10</f>
        <v>0</v>
      </c>
      <c r="AB54" s="69">
        <f t="shared" si="174"/>
        <v>4.8</v>
      </c>
      <c r="AC54" s="68">
        <f t="shared" ref="AC54" si="175">AC53*AC52/10</f>
        <v>0</v>
      </c>
      <c r="AD54" s="68"/>
      <c r="AE54" s="68"/>
    </row>
    <row r="55" spans="1:31" ht="22.5" customHeight="1">
      <c r="A55" s="70" t="s">
        <v>91</v>
      </c>
      <c r="B55" s="71" t="s">
        <v>17</v>
      </c>
      <c r="C55" s="59" t="s">
        <v>39</v>
      </c>
      <c r="D55" s="68"/>
      <c r="E55" s="56"/>
      <c r="F55" s="56"/>
      <c r="G55" s="68"/>
      <c r="H55" s="68"/>
      <c r="I55" s="68"/>
      <c r="J55" s="68"/>
      <c r="K55" s="68"/>
      <c r="L55" s="68"/>
      <c r="M55" s="68"/>
      <c r="N55" s="162"/>
      <c r="O55" s="63">
        <f>Q55+S55+U55+W55+Y55+AA55+AC55</f>
        <v>3985.9799999999996</v>
      </c>
      <c r="P55" s="87"/>
      <c r="Q55" s="68">
        <f>220+9.9-0.3</f>
        <v>229.6</v>
      </c>
      <c r="R55" s="87"/>
      <c r="S55" s="68">
        <f>790-9.1+11</f>
        <v>791.9</v>
      </c>
      <c r="T55" s="87"/>
      <c r="U55" s="68">
        <f>890-7.95+5</f>
        <v>887.05</v>
      </c>
      <c r="V55" s="87"/>
      <c r="W55" s="68">
        <f>582-44+33.44-8</f>
        <v>563.44000000000005</v>
      </c>
      <c r="X55" s="87"/>
      <c r="Y55" s="68">
        <f>928+5.6-20-1.48-0.2+15.3</f>
        <v>927.21999999999991</v>
      </c>
      <c r="Z55" s="87"/>
      <c r="AA55" s="68">
        <f>410+8.1+0.9-23.1-60.23+16+13.1</f>
        <v>364.77</v>
      </c>
      <c r="AB55" s="87"/>
      <c r="AC55" s="68">
        <f>222</f>
        <v>222</v>
      </c>
      <c r="AD55" s="68"/>
      <c r="AE55" s="68"/>
    </row>
    <row r="56" spans="1:31" ht="22.5" customHeight="1">
      <c r="A56" s="52" t="s">
        <v>34</v>
      </c>
      <c r="B56" s="61" t="s">
        <v>10</v>
      </c>
      <c r="C56" s="59" t="s">
        <v>1</v>
      </c>
      <c r="D56" s="68">
        <v>4163</v>
      </c>
      <c r="E56" s="63">
        <v>4038</v>
      </c>
      <c r="F56" s="63">
        <f>G56+H56+I56+J56+K56+L56+M56</f>
        <v>3915.92</v>
      </c>
      <c r="G56" s="68">
        <f>220+9.9-0.3</f>
        <v>229.6</v>
      </c>
      <c r="H56" s="68">
        <f>790-9.1</f>
        <v>780.9</v>
      </c>
      <c r="I56" s="68">
        <f>890-7.95</f>
        <v>882.05</v>
      </c>
      <c r="J56" s="68">
        <f>582-44</f>
        <v>538</v>
      </c>
      <c r="K56" s="68">
        <f>928+5.6-20-1.7-0.2</f>
        <v>911.69999999999993</v>
      </c>
      <c r="L56" s="68">
        <f>410+8.1+0.9-23.1-60.23+16</f>
        <v>351.66999999999996</v>
      </c>
      <c r="M56" s="68">
        <f>222</f>
        <v>222</v>
      </c>
      <c r="N56" s="162">
        <f>P56+R56+T56+V56+X56+Z56+AB56</f>
        <v>3724.1699999999996</v>
      </c>
      <c r="O56" s="63">
        <f>Q56+S56+U56+W56+Y56+AA56+AC56</f>
        <v>1638.98</v>
      </c>
      <c r="P56" s="87">
        <f>229.6-11</f>
        <v>218.6</v>
      </c>
      <c r="Q56" s="68">
        <f>220+9.9-0.3-100-20-12-25</f>
        <v>72.599999999999994</v>
      </c>
      <c r="R56" s="87">
        <f>780.9+0.15-4-19</f>
        <v>758.05</v>
      </c>
      <c r="S56" s="68">
        <f>790-9.1+11-250-90-40-50</f>
        <v>361.9</v>
      </c>
      <c r="T56" s="87">
        <f>882.05-25-5-17</f>
        <v>835.05</v>
      </c>
      <c r="U56" s="68">
        <f>890-7.95+5-350-90-35-40</f>
        <v>372.04999999999995</v>
      </c>
      <c r="V56" s="87">
        <f>538-5-1-21</f>
        <v>511</v>
      </c>
      <c r="W56" s="68">
        <f>582-44+33.44-8-250-50-26-20</f>
        <v>217.44000000000005</v>
      </c>
      <c r="X56" s="87">
        <f>911.7-6-19</f>
        <v>886.7</v>
      </c>
      <c r="Y56" s="68">
        <f>928+5.6-20-1.48-0.2+15.3-350-110-37-30</f>
        <v>400.21999999999991</v>
      </c>
      <c r="Z56" s="87">
        <f>351.67-26.9-3-13</f>
        <v>308.77000000000004</v>
      </c>
      <c r="AA56" s="68">
        <f>410+8.1+0.9-23.1-60.23+16+13.1-200-25-5</f>
        <v>134.76999999999998</v>
      </c>
      <c r="AB56" s="87">
        <f>222-4-12</f>
        <v>206</v>
      </c>
      <c r="AC56" s="68">
        <f>222-100-20-12-10</f>
        <v>80</v>
      </c>
      <c r="AD56" s="63">
        <f>O56/N56*100</f>
        <v>44.009269179441333</v>
      </c>
      <c r="AE56" s="68"/>
    </row>
    <row r="57" spans="1:31" ht="22.5" customHeight="1">
      <c r="A57" s="52" t="s">
        <v>34</v>
      </c>
      <c r="B57" s="61" t="s">
        <v>11</v>
      </c>
      <c r="C57" s="59" t="s">
        <v>2</v>
      </c>
      <c r="D57" s="68">
        <v>0</v>
      </c>
      <c r="E57" s="63">
        <f>E58/E56*10</f>
        <v>74.638434868746913</v>
      </c>
      <c r="F57" s="63">
        <f>F58/F56*10</f>
        <v>96.192003411714211</v>
      </c>
      <c r="G57" s="68">
        <v>87</v>
      </c>
      <c r="H57" s="68">
        <v>110</v>
      </c>
      <c r="I57" s="68">
        <v>100</v>
      </c>
      <c r="J57" s="68">
        <v>88</v>
      </c>
      <c r="K57" s="68">
        <v>90</v>
      </c>
      <c r="L57" s="68">
        <v>97</v>
      </c>
      <c r="M57" s="68">
        <v>86</v>
      </c>
      <c r="N57" s="162">
        <f>N58/N56*10</f>
        <v>97.88846642339098</v>
      </c>
      <c r="O57" s="63">
        <f>O58/O56*10</f>
        <v>96.668299796214711</v>
      </c>
      <c r="P57" s="69">
        <v>87</v>
      </c>
      <c r="Q57" s="68">
        <v>87</v>
      </c>
      <c r="R57" s="69">
        <v>110</v>
      </c>
      <c r="S57" s="68">
        <v>110</v>
      </c>
      <c r="T57" s="69">
        <v>100</v>
      </c>
      <c r="U57" s="68">
        <v>100</v>
      </c>
      <c r="V57" s="69">
        <v>88</v>
      </c>
      <c r="W57" s="68">
        <v>88</v>
      </c>
      <c r="X57" s="69">
        <v>97</v>
      </c>
      <c r="Y57" s="68">
        <v>90</v>
      </c>
      <c r="Z57" s="69">
        <v>97</v>
      </c>
      <c r="AA57" s="68">
        <v>97</v>
      </c>
      <c r="AB57" s="69">
        <v>86</v>
      </c>
      <c r="AC57" s="68">
        <v>86</v>
      </c>
      <c r="AD57" s="68"/>
      <c r="AE57" s="68"/>
    </row>
    <row r="58" spans="1:31" ht="22.5" customHeight="1">
      <c r="A58" s="52" t="s">
        <v>34</v>
      </c>
      <c r="B58" s="61" t="s">
        <v>12</v>
      </c>
      <c r="C58" s="59" t="s">
        <v>36</v>
      </c>
      <c r="D58" s="68">
        <v>0</v>
      </c>
      <c r="E58" s="63">
        <v>30139</v>
      </c>
      <c r="F58" s="63">
        <f>G58+H58+I58+J58+K58+L58+M58</f>
        <v>37668.018999999993</v>
      </c>
      <c r="G58" s="68">
        <f t="shared" ref="G58:H58" si="176">G57*G56/10</f>
        <v>1997.52</v>
      </c>
      <c r="H58" s="68">
        <f t="shared" si="176"/>
        <v>8589.9</v>
      </c>
      <c r="I58" s="68">
        <f t="shared" ref="I58:M58" si="177">I57*I56/10</f>
        <v>8820.5</v>
      </c>
      <c r="J58" s="68">
        <f t="shared" si="177"/>
        <v>4734.3999999999996</v>
      </c>
      <c r="K58" s="68">
        <f t="shared" si="177"/>
        <v>8205.2999999999993</v>
      </c>
      <c r="L58" s="68">
        <f t="shared" si="177"/>
        <v>3411.1989999999996</v>
      </c>
      <c r="M58" s="68">
        <f t="shared" si="177"/>
        <v>1909.2</v>
      </c>
      <c r="N58" s="162">
        <f>P58+R58+T58+V58+X58+Z58+AB58</f>
        <v>36455.328999999998</v>
      </c>
      <c r="O58" s="63">
        <f>Q58+S58+U58+W58+Y58+AA58+AC58</f>
        <v>15843.741</v>
      </c>
      <c r="P58" s="69">
        <f t="shared" ref="P58" si="178">P57*P56/10</f>
        <v>1901.8200000000002</v>
      </c>
      <c r="Q58" s="68">
        <f t="shared" ref="Q58:R58" si="179">Q57*Q56/10</f>
        <v>631.62</v>
      </c>
      <c r="R58" s="69">
        <f t="shared" si="179"/>
        <v>8338.5499999999993</v>
      </c>
      <c r="S58" s="68">
        <f t="shared" ref="S58:T58" si="180">S57*S56/10</f>
        <v>3980.9</v>
      </c>
      <c r="T58" s="69">
        <f t="shared" si="180"/>
        <v>8350.5</v>
      </c>
      <c r="U58" s="68">
        <f t="shared" ref="U58:V58" si="181">U57*U56/10</f>
        <v>3720.4999999999991</v>
      </c>
      <c r="V58" s="69">
        <f t="shared" si="181"/>
        <v>4496.8</v>
      </c>
      <c r="W58" s="68">
        <f t="shared" ref="W58:X58" si="182">W57*W56/10</f>
        <v>1913.4720000000004</v>
      </c>
      <c r="X58" s="69">
        <f t="shared" si="182"/>
        <v>8600.9900000000016</v>
      </c>
      <c r="Y58" s="68">
        <f t="shared" ref="Y58:Z58" si="183">Y57*Y56/10</f>
        <v>3601.9799999999996</v>
      </c>
      <c r="Z58" s="69">
        <f t="shared" si="183"/>
        <v>2995.0690000000004</v>
      </c>
      <c r="AA58" s="68">
        <f t="shared" ref="AA58:AB58" si="184">AA57*AA56/10</f>
        <v>1307.2689999999998</v>
      </c>
      <c r="AB58" s="69">
        <f t="shared" si="184"/>
        <v>1771.6</v>
      </c>
      <c r="AC58" s="68">
        <f t="shared" ref="AC58" si="185">AC57*AC56/10</f>
        <v>688</v>
      </c>
      <c r="AD58" s="68"/>
      <c r="AE58" s="68"/>
    </row>
    <row r="59" spans="1:31" ht="22.5" customHeight="1">
      <c r="A59" s="58">
        <v>4</v>
      </c>
      <c r="B59" s="53" t="s">
        <v>66</v>
      </c>
      <c r="C59" s="54" t="s">
        <v>1</v>
      </c>
      <c r="D59" s="55">
        <v>242</v>
      </c>
      <c r="E59" s="56">
        <f>E61+E65</f>
        <v>249.6</v>
      </c>
      <c r="F59" s="56">
        <f>F61+F65</f>
        <v>218.1</v>
      </c>
      <c r="G59" s="55">
        <f t="shared" ref="G59:I59" si="186">G61+G65</f>
        <v>24</v>
      </c>
      <c r="H59" s="55">
        <f t="shared" si="186"/>
        <v>42</v>
      </c>
      <c r="I59" s="55">
        <f t="shared" si="186"/>
        <v>24</v>
      </c>
      <c r="J59" s="55">
        <f t="shared" ref="J59:M59" si="187">J61+J65</f>
        <v>43</v>
      </c>
      <c r="K59" s="55">
        <f t="shared" si="187"/>
        <v>41</v>
      </c>
      <c r="L59" s="55">
        <f t="shared" si="187"/>
        <v>17.100000000000001</v>
      </c>
      <c r="M59" s="55">
        <f t="shared" si="187"/>
        <v>27</v>
      </c>
      <c r="N59" s="157">
        <f>N61+N65</f>
        <v>218.1</v>
      </c>
      <c r="O59" s="56">
        <f>O61+O65</f>
        <v>203.39999999999998</v>
      </c>
      <c r="P59" s="88">
        <f t="shared" ref="P59" si="188">P61+P65</f>
        <v>24</v>
      </c>
      <c r="Q59" s="55">
        <f t="shared" ref="Q59:R59" si="189">Q61+Q65</f>
        <v>23</v>
      </c>
      <c r="R59" s="88">
        <f t="shared" si="189"/>
        <v>42</v>
      </c>
      <c r="S59" s="55">
        <f t="shared" ref="S59:T59" si="190">S61+S65</f>
        <v>40</v>
      </c>
      <c r="T59" s="88">
        <f t="shared" si="190"/>
        <v>24</v>
      </c>
      <c r="U59" s="55">
        <f t="shared" ref="U59:V59" si="191">U61+U65</f>
        <v>22.5</v>
      </c>
      <c r="V59" s="88">
        <f t="shared" si="191"/>
        <v>43</v>
      </c>
      <c r="W59" s="55">
        <f t="shared" ref="W59:X59" si="192">W61+W65</f>
        <v>41.2</v>
      </c>
      <c r="X59" s="88">
        <f t="shared" si="192"/>
        <v>41</v>
      </c>
      <c r="Y59" s="55">
        <f t="shared" ref="Y59:Z59" si="193">Y61+Y65</f>
        <v>38.4</v>
      </c>
      <c r="Z59" s="88">
        <f t="shared" si="193"/>
        <v>17.100000000000001</v>
      </c>
      <c r="AA59" s="55">
        <f t="shared" ref="AA59:AB59" si="194">AA61+AA65</f>
        <v>13.3</v>
      </c>
      <c r="AB59" s="88">
        <f t="shared" si="194"/>
        <v>27</v>
      </c>
      <c r="AC59" s="55">
        <f t="shared" ref="AC59" si="195">AC61+AC65</f>
        <v>25</v>
      </c>
      <c r="AD59" s="56">
        <f>O59/N59*100</f>
        <v>93.259972489683619</v>
      </c>
      <c r="AE59" s="55"/>
    </row>
    <row r="60" spans="1:31" ht="22.5" customHeight="1">
      <c r="A60" s="70" t="s">
        <v>92</v>
      </c>
      <c r="B60" s="71" t="s">
        <v>18</v>
      </c>
      <c r="C60" s="59" t="s">
        <v>39</v>
      </c>
      <c r="D60" s="68"/>
      <c r="E60" s="56"/>
      <c r="F60" s="56"/>
      <c r="G60" s="68"/>
      <c r="H60" s="68"/>
      <c r="I60" s="68"/>
      <c r="J60" s="68"/>
      <c r="K60" s="68"/>
      <c r="L60" s="68"/>
      <c r="M60" s="68"/>
      <c r="N60" s="162"/>
      <c r="O60" s="56"/>
      <c r="P60" s="76"/>
      <c r="Q60" s="68"/>
      <c r="R60" s="76"/>
      <c r="S60" s="68"/>
      <c r="T60" s="76"/>
      <c r="U60" s="68"/>
      <c r="V60" s="76"/>
      <c r="W60" s="68"/>
      <c r="X60" s="76"/>
      <c r="Y60" s="68"/>
      <c r="Z60" s="76"/>
      <c r="AA60" s="68"/>
      <c r="AB60" s="76"/>
      <c r="AC60" s="68"/>
      <c r="AD60" s="68"/>
      <c r="AE60" s="68"/>
    </row>
    <row r="61" spans="1:31" ht="22.5" customHeight="1">
      <c r="A61" s="52" t="s">
        <v>34</v>
      </c>
      <c r="B61" s="61" t="s">
        <v>10</v>
      </c>
      <c r="C61" s="59" t="s">
        <v>1</v>
      </c>
      <c r="D61" s="68">
        <v>136</v>
      </c>
      <c r="E61" s="63">
        <v>145</v>
      </c>
      <c r="F61" s="63">
        <f>G61+H61+I61+J61+K61+L61+M61</f>
        <v>126.1</v>
      </c>
      <c r="G61" s="68">
        <v>15</v>
      </c>
      <c r="H61" s="68">
        <v>25</v>
      </c>
      <c r="I61" s="68">
        <v>14</v>
      </c>
      <c r="J61" s="68">
        <v>23</v>
      </c>
      <c r="K61" s="68">
        <v>22</v>
      </c>
      <c r="L61" s="68">
        <v>8.1</v>
      </c>
      <c r="M61" s="68">
        <v>19</v>
      </c>
      <c r="N61" s="162">
        <f>P61+R61+T61+V61+X61+Z61+AB61</f>
        <v>126.1</v>
      </c>
      <c r="O61" s="63">
        <f>Q61+S61+U61+W61+Y61+AA61+AC61</f>
        <v>126.1</v>
      </c>
      <c r="P61" s="80">
        <v>15</v>
      </c>
      <c r="Q61" s="68">
        <f>15</f>
        <v>15</v>
      </c>
      <c r="R61" s="80">
        <v>25</v>
      </c>
      <c r="S61" s="68">
        <f>25-0</f>
        <v>25</v>
      </c>
      <c r="T61" s="80">
        <v>14</v>
      </c>
      <c r="U61" s="68">
        <f>14-0</f>
        <v>14</v>
      </c>
      <c r="V61" s="80">
        <v>23</v>
      </c>
      <c r="W61" s="68">
        <f>23-0</f>
        <v>23</v>
      </c>
      <c r="X61" s="80">
        <v>22</v>
      </c>
      <c r="Y61" s="68">
        <f>22-0</f>
        <v>22</v>
      </c>
      <c r="Z61" s="80">
        <v>8.1</v>
      </c>
      <c r="AA61" s="68">
        <f>8.1-0</f>
        <v>8.1</v>
      </c>
      <c r="AB61" s="80">
        <v>19</v>
      </c>
      <c r="AC61" s="68">
        <f>19-0</f>
        <v>19</v>
      </c>
      <c r="AD61" s="63">
        <f>O61/N61*100</f>
        <v>100</v>
      </c>
      <c r="AE61" s="68"/>
    </row>
    <row r="62" spans="1:31" ht="22.5" customHeight="1">
      <c r="A62" s="52" t="s">
        <v>35</v>
      </c>
      <c r="B62" s="61" t="s">
        <v>11</v>
      </c>
      <c r="C62" s="59" t="s">
        <v>2</v>
      </c>
      <c r="D62" s="68">
        <v>19</v>
      </c>
      <c r="E62" s="63">
        <v>17.986206896551725</v>
      </c>
      <c r="F62" s="63">
        <f>F63/F61*10</f>
        <v>19.168913560666137</v>
      </c>
      <c r="G62" s="68">
        <v>17</v>
      </c>
      <c r="H62" s="68">
        <v>21</v>
      </c>
      <c r="I62" s="68">
        <v>17</v>
      </c>
      <c r="J62" s="68">
        <v>18</v>
      </c>
      <c r="K62" s="68">
        <v>22</v>
      </c>
      <c r="L62" s="68">
        <v>22</v>
      </c>
      <c r="M62" s="68">
        <v>17</v>
      </c>
      <c r="N62" s="162">
        <f>N63/N61*10</f>
        <v>19.168913560666137</v>
      </c>
      <c r="O62" s="63">
        <f>O63/O61*10</f>
        <v>0</v>
      </c>
      <c r="P62" s="76">
        <v>17</v>
      </c>
      <c r="Q62" s="68"/>
      <c r="R62" s="76">
        <v>21</v>
      </c>
      <c r="S62" s="68"/>
      <c r="T62" s="76">
        <v>17</v>
      </c>
      <c r="U62" s="68"/>
      <c r="V62" s="76">
        <v>18</v>
      </c>
      <c r="W62" s="68"/>
      <c r="X62" s="76">
        <v>22</v>
      </c>
      <c r="Y62" s="68"/>
      <c r="Z62" s="76">
        <v>22</v>
      </c>
      <c r="AA62" s="68"/>
      <c r="AB62" s="76">
        <v>17</v>
      </c>
      <c r="AC62" s="68"/>
      <c r="AD62" s="68"/>
      <c r="AE62" s="68"/>
    </row>
    <row r="63" spans="1:31" ht="22.5" customHeight="1">
      <c r="A63" s="52" t="s">
        <v>34</v>
      </c>
      <c r="B63" s="61" t="s">
        <v>12</v>
      </c>
      <c r="C63" s="59" t="s">
        <v>36</v>
      </c>
      <c r="D63" s="68">
        <v>264</v>
      </c>
      <c r="E63" s="63">
        <v>260.8</v>
      </c>
      <c r="F63" s="63">
        <f>G63+H63+I63+J63+K63+L63+M63</f>
        <v>241.71999999999997</v>
      </c>
      <c r="G63" s="68">
        <f t="shared" ref="G63:M63" si="196">G62*G61/10</f>
        <v>25.5</v>
      </c>
      <c r="H63" s="68">
        <f t="shared" si="196"/>
        <v>52.5</v>
      </c>
      <c r="I63" s="68">
        <f t="shared" si="196"/>
        <v>23.8</v>
      </c>
      <c r="J63" s="68">
        <f t="shared" si="196"/>
        <v>41.4</v>
      </c>
      <c r="K63" s="68">
        <f t="shared" si="196"/>
        <v>48.4</v>
      </c>
      <c r="L63" s="68">
        <f t="shared" si="196"/>
        <v>17.82</v>
      </c>
      <c r="M63" s="68">
        <f t="shared" si="196"/>
        <v>32.299999999999997</v>
      </c>
      <c r="N63" s="162">
        <f>P63+R63+T63+V63+X63+Z63+AB63</f>
        <v>241.71999999999997</v>
      </c>
      <c r="O63" s="63">
        <f>Q63+S63+U63+W63+Y63+AA63+AC63</f>
        <v>0</v>
      </c>
      <c r="P63" s="76">
        <f t="shared" ref="P63" si="197">P62*P61/10</f>
        <v>25.5</v>
      </c>
      <c r="Q63" s="68">
        <f t="shared" ref="Q63:R63" si="198">Q62*Q61/10</f>
        <v>0</v>
      </c>
      <c r="R63" s="76">
        <f t="shared" si="198"/>
        <v>52.5</v>
      </c>
      <c r="S63" s="68">
        <f t="shared" ref="S63:T63" si="199">S62*S61/10</f>
        <v>0</v>
      </c>
      <c r="T63" s="76">
        <f t="shared" si="199"/>
        <v>23.8</v>
      </c>
      <c r="U63" s="68">
        <f t="shared" ref="U63:V63" si="200">U62*U61/10</f>
        <v>0</v>
      </c>
      <c r="V63" s="76">
        <f t="shared" si="200"/>
        <v>41.4</v>
      </c>
      <c r="W63" s="68">
        <f t="shared" ref="W63:X63" si="201">W62*W61/10</f>
        <v>0</v>
      </c>
      <c r="X63" s="76">
        <f t="shared" si="201"/>
        <v>48.4</v>
      </c>
      <c r="Y63" s="68">
        <f t="shared" ref="Y63:Z63" si="202">Y62*Y61/10</f>
        <v>0</v>
      </c>
      <c r="Z63" s="76">
        <f t="shared" si="202"/>
        <v>17.82</v>
      </c>
      <c r="AA63" s="68">
        <f t="shared" ref="AA63:AB63" si="203">AA62*AA61/10</f>
        <v>0</v>
      </c>
      <c r="AB63" s="76">
        <f t="shared" si="203"/>
        <v>32.299999999999997</v>
      </c>
      <c r="AC63" s="68">
        <f t="shared" ref="AC63" si="204">AC62*AC61/10</f>
        <v>0</v>
      </c>
      <c r="AD63" s="68"/>
      <c r="AE63" s="68"/>
    </row>
    <row r="64" spans="1:31" ht="22.5" customHeight="1">
      <c r="A64" s="70" t="s">
        <v>93</v>
      </c>
      <c r="B64" s="71" t="s">
        <v>19</v>
      </c>
      <c r="C64" s="59" t="s">
        <v>39</v>
      </c>
      <c r="D64" s="68"/>
      <c r="E64" s="56"/>
      <c r="F64" s="56"/>
      <c r="G64" s="68"/>
      <c r="H64" s="68"/>
      <c r="I64" s="68"/>
      <c r="J64" s="68"/>
      <c r="K64" s="68"/>
      <c r="L64" s="68"/>
      <c r="M64" s="68"/>
      <c r="N64" s="162"/>
      <c r="O64" s="56"/>
      <c r="P64" s="76"/>
      <c r="Q64" s="68"/>
      <c r="R64" s="76"/>
      <c r="S64" s="68"/>
      <c r="T64" s="76"/>
      <c r="U64" s="68"/>
      <c r="V64" s="76"/>
      <c r="W64" s="68"/>
      <c r="X64" s="76"/>
      <c r="Y64" s="68"/>
      <c r="Z64" s="76"/>
      <c r="AA64" s="68"/>
      <c r="AB64" s="76"/>
      <c r="AC64" s="68"/>
      <c r="AD64" s="68"/>
      <c r="AE64" s="68"/>
    </row>
    <row r="65" spans="1:31" ht="22.5" customHeight="1">
      <c r="A65" s="52" t="s">
        <v>34</v>
      </c>
      <c r="B65" s="61" t="s">
        <v>10</v>
      </c>
      <c r="C65" s="59" t="s">
        <v>1</v>
      </c>
      <c r="D65" s="68">
        <v>106</v>
      </c>
      <c r="E65" s="63">
        <v>104.6</v>
      </c>
      <c r="F65" s="63">
        <f>G65+H65+I65+J65+K65+L65+M65</f>
        <v>92</v>
      </c>
      <c r="G65" s="68">
        <v>9</v>
      </c>
      <c r="H65" s="68">
        <v>17</v>
      </c>
      <c r="I65" s="68">
        <v>10</v>
      </c>
      <c r="J65" s="68">
        <v>20</v>
      </c>
      <c r="K65" s="68">
        <v>19</v>
      </c>
      <c r="L65" s="68">
        <v>9</v>
      </c>
      <c r="M65" s="68">
        <v>8</v>
      </c>
      <c r="N65" s="162">
        <f>P65+R65+T65+V65+X65+Z65+AB65</f>
        <v>92</v>
      </c>
      <c r="O65" s="63">
        <f>Q65+S65+U65+W65+Y65+AA65+AC65</f>
        <v>77.3</v>
      </c>
      <c r="P65" s="80">
        <v>9</v>
      </c>
      <c r="Q65" s="68">
        <f>9-1</f>
        <v>8</v>
      </c>
      <c r="R65" s="80">
        <v>17</v>
      </c>
      <c r="S65" s="68">
        <f>17-2</f>
        <v>15</v>
      </c>
      <c r="T65" s="80">
        <v>10</v>
      </c>
      <c r="U65" s="68">
        <f>10-1.5</f>
        <v>8.5</v>
      </c>
      <c r="V65" s="80">
        <v>20</v>
      </c>
      <c r="W65" s="68">
        <f>20-1.8</f>
        <v>18.2</v>
      </c>
      <c r="X65" s="80">
        <v>19</v>
      </c>
      <c r="Y65" s="68">
        <f>19-2.6</f>
        <v>16.399999999999999</v>
      </c>
      <c r="Z65" s="80">
        <v>9</v>
      </c>
      <c r="AA65" s="68">
        <f>9-3.8</f>
        <v>5.2</v>
      </c>
      <c r="AB65" s="80">
        <v>8</v>
      </c>
      <c r="AC65" s="68">
        <f>8-2</f>
        <v>6</v>
      </c>
      <c r="AD65" s="63">
        <f>O65/N65*100</f>
        <v>84.021739130434781</v>
      </c>
      <c r="AE65" s="68"/>
    </row>
    <row r="66" spans="1:31" ht="22.5" customHeight="1">
      <c r="A66" s="52" t="s">
        <v>35</v>
      </c>
      <c r="B66" s="61" t="s">
        <v>11</v>
      </c>
      <c r="C66" s="59" t="s">
        <v>2</v>
      </c>
      <c r="D66" s="68">
        <v>15</v>
      </c>
      <c r="E66" s="63">
        <v>14.938814531548761</v>
      </c>
      <c r="F66" s="63">
        <f>F67/F65*10</f>
        <v>15.489130434782609</v>
      </c>
      <c r="G66" s="68">
        <v>12</v>
      </c>
      <c r="H66" s="68">
        <v>18</v>
      </c>
      <c r="I66" s="68">
        <v>13</v>
      </c>
      <c r="J66" s="68">
        <v>15</v>
      </c>
      <c r="K66" s="68">
        <v>17</v>
      </c>
      <c r="L66" s="68">
        <v>18</v>
      </c>
      <c r="M66" s="68">
        <v>12</v>
      </c>
      <c r="N66" s="162">
        <f>N67/N65*100</f>
        <v>154.89130434782609</v>
      </c>
      <c r="O66" s="63">
        <f>O67/O65*10</f>
        <v>0</v>
      </c>
      <c r="P66" s="76">
        <v>12</v>
      </c>
      <c r="Q66" s="68"/>
      <c r="R66" s="76">
        <v>18</v>
      </c>
      <c r="S66" s="68"/>
      <c r="T66" s="76">
        <v>13</v>
      </c>
      <c r="U66" s="68"/>
      <c r="V66" s="76">
        <v>15</v>
      </c>
      <c r="W66" s="68"/>
      <c r="X66" s="76">
        <v>17</v>
      </c>
      <c r="Y66" s="68"/>
      <c r="Z66" s="76">
        <v>18</v>
      </c>
      <c r="AA66" s="68"/>
      <c r="AB66" s="76">
        <v>12</v>
      </c>
      <c r="AC66" s="68"/>
      <c r="AD66" s="68"/>
      <c r="AE66" s="68"/>
    </row>
    <row r="67" spans="1:31" ht="22.5" customHeight="1">
      <c r="A67" s="52" t="s">
        <v>34</v>
      </c>
      <c r="B67" s="61" t="s">
        <v>12</v>
      </c>
      <c r="C67" s="59" t="s">
        <v>36</v>
      </c>
      <c r="D67" s="68">
        <v>157</v>
      </c>
      <c r="E67" s="63">
        <v>156.26000000000002</v>
      </c>
      <c r="F67" s="63">
        <f>G67+H67+I67+J67+K67+L67+M67</f>
        <v>142.5</v>
      </c>
      <c r="G67" s="68">
        <f t="shared" ref="G67:M67" si="205">G66*G65/10</f>
        <v>10.8</v>
      </c>
      <c r="H67" s="68">
        <f t="shared" si="205"/>
        <v>30.6</v>
      </c>
      <c r="I67" s="68">
        <f t="shared" si="205"/>
        <v>13</v>
      </c>
      <c r="J67" s="68">
        <f t="shared" si="205"/>
        <v>30</v>
      </c>
      <c r="K67" s="68">
        <f t="shared" si="205"/>
        <v>32.299999999999997</v>
      </c>
      <c r="L67" s="68">
        <f t="shared" si="205"/>
        <v>16.2</v>
      </c>
      <c r="M67" s="68">
        <f t="shared" si="205"/>
        <v>9.6</v>
      </c>
      <c r="N67" s="162">
        <f>P67+R67+T67+V67+X67+Z67+AB67</f>
        <v>142.5</v>
      </c>
      <c r="O67" s="63">
        <f>Q67+S67+U67+W67+Y67+AA67+AC67</f>
        <v>0</v>
      </c>
      <c r="P67" s="76">
        <f t="shared" ref="P67" si="206">P66*P65/10</f>
        <v>10.8</v>
      </c>
      <c r="Q67" s="68">
        <f t="shared" ref="Q67:R67" si="207">Q66*Q65/10</f>
        <v>0</v>
      </c>
      <c r="R67" s="76">
        <f t="shared" si="207"/>
        <v>30.6</v>
      </c>
      <c r="S67" s="68">
        <f t="shared" ref="S67:T67" si="208">S66*S65/10</f>
        <v>0</v>
      </c>
      <c r="T67" s="76">
        <f t="shared" si="208"/>
        <v>13</v>
      </c>
      <c r="U67" s="68">
        <f t="shared" ref="U67:V67" si="209">U66*U65/10</f>
        <v>0</v>
      </c>
      <c r="V67" s="76">
        <f t="shared" si="209"/>
        <v>30</v>
      </c>
      <c r="W67" s="68">
        <f t="shared" ref="W67:X67" si="210">W66*W65/10</f>
        <v>0</v>
      </c>
      <c r="X67" s="76">
        <f t="shared" si="210"/>
        <v>32.299999999999997</v>
      </c>
      <c r="Y67" s="68">
        <f t="shared" ref="Y67:Z67" si="211">Y66*Y65/10</f>
        <v>0</v>
      </c>
      <c r="Z67" s="76">
        <f t="shared" si="211"/>
        <v>16.2</v>
      </c>
      <c r="AA67" s="68">
        <f t="shared" ref="AA67:AB67" si="212">AA66*AA65/10</f>
        <v>0</v>
      </c>
      <c r="AB67" s="76">
        <f t="shared" si="212"/>
        <v>9.6</v>
      </c>
      <c r="AC67" s="68">
        <f t="shared" ref="AC67" si="213">AC66*AC65/10</f>
        <v>0</v>
      </c>
      <c r="AD67" s="68"/>
      <c r="AE67" s="68"/>
    </row>
    <row r="68" spans="1:31" ht="22.5" customHeight="1">
      <c r="A68" s="58">
        <v>5</v>
      </c>
      <c r="B68" s="53" t="s">
        <v>72</v>
      </c>
      <c r="C68" s="54" t="s">
        <v>1</v>
      </c>
      <c r="D68" s="55">
        <v>56</v>
      </c>
      <c r="E68" s="56">
        <f>E70+E75</f>
        <v>56.45</v>
      </c>
      <c r="F68" s="56">
        <f>F70+F75</f>
        <v>167.55</v>
      </c>
      <c r="G68" s="55">
        <f t="shared" ref="G68:M68" si="214">G70+G75</f>
        <v>0</v>
      </c>
      <c r="H68" s="55">
        <f t="shared" si="214"/>
        <v>55.15</v>
      </c>
      <c r="I68" s="55">
        <f t="shared" si="214"/>
        <v>5</v>
      </c>
      <c r="J68" s="55">
        <f t="shared" si="214"/>
        <v>57</v>
      </c>
      <c r="K68" s="55">
        <f t="shared" si="214"/>
        <v>26</v>
      </c>
      <c r="L68" s="55">
        <f t="shared" si="214"/>
        <v>24.400000000000002</v>
      </c>
      <c r="M68" s="55">
        <f t="shared" si="214"/>
        <v>0</v>
      </c>
      <c r="N68" s="157">
        <f>N70+N75</f>
        <v>219.3</v>
      </c>
      <c r="O68" s="56">
        <f>O70+O75</f>
        <v>83.53</v>
      </c>
      <c r="P68" s="88">
        <f t="shared" ref="P68" si="215">P70+P75</f>
        <v>0</v>
      </c>
      <c r="Q68" s="55">
        <f t="shared" ref="Q68:R68" si="216">Q70+Q75</f>
        <v>0</v>
      </c>
      <c r="R68" s="88">
        <f t="shared" si="216"/>
        <v>55</v>
      </c>
      <c r="S68" s="55">
        <f t="shared" ref="S68:T68" si="217">S70+S75</f>
        <v>39.15</v>
      </c>
      <c r="T68" s="88">
        <f t="shared" si="217"/>
        <v>30</v>
      </c>
      <c r="U68" s="55">
        <f t="shared" ref="U68:V68" si="218">U70+U75</f>
        <v>0</v>
      </c>
      <c r="V68" s="88">
        <f t="shared" si="218"/>
        <v>57</v>
      </c>
      <c r="W68" s="55">
        <f t="shared" ref="W68:X68" si="219">W70+W75</f>
        <v>29.6</v>
      </c>
      <c r="X68" s="88">
        <f t="shared" si="219"/>
        <v>26</v>
      </c>
      <c r="Y68" s="55">
        <f t="shared" ref="Y68:Z68" si="220">Y70+Y75</f>
        <v>6.18</v>
      </c>
      <c r="Z68" s="88">
        <f t="shared" si="220"/>
        <v>51.3</v>
      </c>
      <c r="AA68" s="55">
        <f t="shared" ref="AA68:AB68" si="221">AA70+AA75</f>
        <v>8.6</v>
      </c>
      <c r="AB68" s="88">
        <f t="shared" si="221"/>
        <v>0</v>
      </c>
      <c r="AC68" s="55">
        <f t="shared" ref="AC68" si="222">AC70+AC75</f>
        <v>0</v>
      </c>
      <c r="AD68" s="56">
        <f>O68/N68*100</f>
        <v>38.089375284997715</v>
      </c>
      <c r="AE68" s="55"/>
    </row>
    <row r="69" spans="1:31" ht="22.5" customHeight="1">
      <c r="A69" s="70" t="s">
        <v>94</v>
      </c>
      <c r="B69" s="71" t="s">
        <v>20</v>
      </c>
      <c r="C69" s="59" t="s">
        <v>39</v>
      </c>
      <c r="D69" s="68"/>
      <c r="E69" s="56"/>
      <c r="F69" s="56"/>
      <c r="G69" s="68"/>
      <c r="H69" s="68"/>
      <c r="I69" s="68"/>
      <c r="J69" s="68"/>
      <c r="K69" s="68"/>
      <c r="L69" s="68"/>
      <c r="M69" s="68"/>
      <c r="N69" s="162"/>
      <c r="O69" s="63"/>
      <c r="P69" s="76"/>
      <c r="Q69" s="68"/>
      <c r="R69" s="87"/>
      <c r="S69" s="89"/>
      <c r="T69" s="87"/>
      <c r="U69" s="68"/>
      <c r="V69" s="87"/>
      <c r="W69" s="68"/>
      <c r="X69" s="87"/>
      <c r="Y69" s="68"/>
      <c r="Z69" s="87"/>
      <c r="AA69" s="68"/>
      <c r="AB69" s="87"/>
      <c r="AC69" s="68"/>
      <c r="AD69" s="68"/>
      <c r="AE69" s="68"/>
    </row>
    <row r="70" spans="1:31" ht="22.5" customHeight="1">
      <c r="A70" s="52" t="s">
        <v>34</v>
      </c>
      <c r="B70" s="61" t="s">
        <v>10</v>
      </c>
      <c r="C70" s="59" t="s">
        <v>1</v>
      </c>
      <c r="D70" s="68">
        <v>39</v>
      </c>
      <c r="E70" s="63">
        <v>39.15</v>
      </c>
      <c r="F70" s="63">
        <f>G70+H70+I70+J70+K70+L70+M70</f>
        <v>153.25</v>
      </c>
      <c r="G70" s="68">
        <v>0</v>
      </c>
      <c r="H70" s="68">
        <f>39.15+H73</f>
        <v>50.15</v>
      </c>
      <c r="I70" s="68">
        <f>I73</f>
        <v>5</v>
      </c>
      <c r="J70" s="68">
        <v>55</v>
      </c>
      <c r="K70" s="68">
        <f>K73</f>
        <v>20</v>
      </c>
      <c r="L70" s="68">
        <v>23.1</v>
      </c>
      <c r="M70" s="68">
        <v>0</v>
      </c>
      <c r="N70" s="162">
        <f>P70+R70+T70+V70+X70+Z70+AB70</f>
        <v>205</v>
      </c>
      <c r="O70" s="63">
        <f>Q70+S70+U70+W70+Y70+AA70+AC70</f>
        <v>83.53</v>
      </c>
      <c r="P70" s="76">
        <v>0</v>
      </c>
      <c r="Q70" s="68">
        <v>0</v>
      </c>
      <c r="R70" s="76">
        <v>50</v>
      </c>
      <c r="S70" s="89">
        <f>39.15</f>
        <v>39.15</v>
      </c>
      <c r="T70" s="76">
        <v>30</v>
      </c>
      <c r="U70" s="68">
        <v>0</v>
      </c>
      <c r="V70" s="76">
        <v>55</v>
      </c>
      <c r="W70" s="68">
        <f>21.6+8</f>
        <v>29.6</v>
      </c>
      <c r="X70" s="76">
        <f>15+5</f>
        <v>20</v>
      </c>
      <c r="Y70" s="68">
        <f>4.7+1.48</f>
        <v>6.18</v>
      </c>
      <c r="Z70" s="76">
        <f>37+13</f>
        <v>50</v>
      </c>
      <c r="AA70" s="68">
        <f>8.6</f>
        <v>8.6</v>
      </c>
      <c r="AB70" s="76">
        <v>0</v>
      </c>
      <c r="AC70" s="68">
        <v>0</v>
      </c>
      <c r="AD70" s="63">
        <f>O70/N70*100</f>
        <v>40.746341463414637</v>
      </c>
      <c r="AE70" s="68"/>
    </row>
    <row r="71" spans="1:31" ht="22.5" customHeight="1">
      <c r="A71" s="52" t="s">
        <v>35</v>
      </c>
      <c r="B71" s="61" t="s">
        <v>11</v>
      </c>
      <c r="C71" s="59" t="s">
        <v>2</v>
      </c>
      <c r="D71" s="68">
        <v>0</v>
      </c>
      <c r="E71" s="63">
        <v>581</v>
      </c>
      <c r="F71" s="63">
        <f>F72/F70*10</f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162">
        <f>N72/N70*10</f>
        <v>750</v>
      </c>
      <c r="O71" s="63">
        <f>O72/O70*10</f>
        <v>0</v>
      </c>
      <c r="P71" s="90">
        <v>0</v>
      </c>
      <c r="Q71" s="68">
        <v>0</v>
      </c>
      <c r="R71" s="90">
        <v>750</v>
      </c>
      <c r="S71" s="68">
        <v>0</v>
      </c>
      <c r="T71" s="90">
        <v>750</v>
      </c>
      <c r="U71" s="68">
        <v>0</v>
      </c>
      <c r="V71" s="90">
        <v>750</v>
      </c>
      <c r="W71" s="68">
        <v>0</v>
      </c>
      <c r="X71" s="90">
        <v>750</v>
      </c>
      <c r="Y71" s="68">
        <v>0</v>
      </c>
      <c r="Z71" s="90">
        <v>750</v>
      </c>
      <c r="AA71" s="68">
        <v>0</v>
      </c>
      <c r="AB71" s="90">
        <v>0</v>
      </c>
      <c r="AC71" s="68">
        <v>0</v>
      </c>
      <c r="AD71" s="68"/>
      <c r="AE71" s="68"/>
    </row>
    <row r="72" spans="1:31" ht="22.5" customHeight="1">
      <c r="A72" s="52" t="s">
        <v>34</v>
      </c>
      <c r="B72" s="61" t="s">
        <v>12</v>
      </c>
      <c r="C72" s="59" t="s">
        <v>36</v>
      </c>
      <c r="D72" s="68">
        <v>0</v>
      </c>
      <c r="E72" s="63">
        <v>2274.6149999999998</v>
      </c>
      <c r="F72" s="63">
        <f>G72+H72+I72+J72+K72+L72+M72</f>
        <v>0</v>
      </c>
      <c r="G72" s="68">
        <f t="shared" ref="G72:M72" si="223">G71*G70/10</f>
        <v>0</v>
      </c>
      <c r="H72" s="68">
        <f t="shared" si="223"/>
        <v>0</v>
      </c>
      <c r="I72" s="68">
        <f t="shared" si="223"/>
        <v>0</v>
      </c>
      <c r="J72" s="68">
        <f t="shared" si="223"/>
        <v>0</v>
      </c>
      <c r="K72" s="68">
        <f t="shared" si="223"/>
        <v>0</v>
      </c>
      <c r="L72" s="68">
        <f t="shared" si="223"/>
        <v>0</v>
      </c>
      <c r="M72" s="68">
        <f t="shared" si="223"/>
        <v>0</v>
      </c>
      <c r="N72" s="162">
        <f>P72+R72+T72+V72+X72+Z72+AB72</f>
        <v>15375</v>
      </c>
      <c r="O72" s="63">
        <f>Q72+S72+U72+W72+Y72+AA72+AC72</f>
        <v>0</v>
      </c>
      <c r="P72" s="76">
        <f>P70*P71/10</f>
        <v>0</v>
      </c>
      <c r="Q72" s="68">
        <f t="shared" ref="Q72" si="224">Q71*Q70/10</f>
        <v>0</v>
      </c>
      <c r="R72" s="76">
        <f t="shared" ref="R72" si="225">R70*R71/10</f>
        <v>3750</v>
      </c>
      <c r="S72" s="68">
        <f t="shared" ref="S72" si="226">S71*S70/10</f>
        <v>0</v>
      </c>
      <c r="T72" s="76">
        <f t="shared" ref="T72" si="227">T70*T71/10</f>
        <v>2250</v>
      </c>
      <c r="U72" s="68">
        <f t="shared" ref="U72" si="228">U71*U70/10</f>
        <v>0</v>
      </c>
      <c r="V72" s="76">
        <f t="shared" ref="V72" si="229">V70*V71/10</f>
        <v>4125</v>
      </c>
      <c r="W72" s="68">
        <f t="shared" ref="W72" si="230">W71*W70/10</f>
        <v>0</v>
      </c>
      <c r="X72" s="76">
        <f t="shared" ref="X72" si="231">X70*X71/10</f>
        <v>1500</v>
      </c>
      <c r="Y72" s="68">
        <f t="shared" ref="Y72" si="232">Y71*Y70/10</f>
        <v>0</v>
      </c>
      <c r="Z72" s="76">
        <f t="shared" ref="Z72" si="233">Z70*Z71/10</f>
        <v>3750</v>
      </c>
      <c r="AA72" s="68">
        <f t="shared" ref="AA72" si="234">AA71*AA70/10</f>
        <v>0</v>
      </c>
      <c r="AB72" s="76">
        <f t="shared" ref="AB72" si="235">AB70*AB71/10</f>
        <v>0</v>
      </c>
      <c r="AC72" s="68">
        <f t="shared" ref="AC72" si="236">AC71*AC70/10</f>
        <v>0</v>
      </c>
      <c r="AD72" s="68"/>
      <c r="AE72" s="68"/>
    </row>
    <row r="73" spans="1:31" ht="22.5" customHeight="1">
      <c r="A73" s="52"/>
      <c r="B73" s="79" t="s">
        <v>71</v>
      </c>
      <c r="C73" s="59"/>
      <c r="D73" s="68">
        <v>0</v>
      </c>
      <c r="E73" s="56"/>
      <c r="F73" s="63">
        <f>G73+H73+I73+J73+K73+L73+M73</f>
        <v>111</v>
      </c>
      <c r="G73" s="68">
        <f>G70</f>
        <v>0</v>
      </c>
      <c r="H73" s="68">
        <v>11</v>
      </c>
      <c r="I73" s="68">
        <v>5</v>
      </c>
      <c r="J73" s="68">
        <v>55</v>
      </c>
      <c r="K73" s="68">
        <v>20</v>
      </c>
      <c r="L73" s="68">
        <v>20</v>
      </c>
      <c r="M73" s="68">
        <f>M70</f>
        <v>0</v>
      </c>
      <c r="N73" s="162"/>
      <c r="O73" s="63">
        <f>Q73+S73+U73+W73+Y73+AA73+AC73</f>
        <v>0</v>
      </c>
      <c r="P73" s="91">
        <v>0</v>
      </c>
      <c r="Q73" s="68">
        <f>Q70</f>
        <v>0</v>
      </c>
      <c r="R73" s="91"/>
      <c r="S73" s="68"/>
      <c r="T73" s="91"/>
      <c r="U73" s="68"/>
      <c r="V73" s="91"/>
      <c r="W73" s="68"/>
      <c r="X73" s="91"/>
      <c r="Y73" s="68"/>
      <c r="Z73" s="91"/>
      <c r="AA73" s="68"/>
      <c r="AB73" s="91">
        <v>0</v>
      </c>
      <c r="AC73" s="68">
        <f>AC70</f>
        <v>0</v>
      </c>
      <c r="AD73" s="68"/>
      <c r="AE73" s="68"/>
    </row>
    <row r="74" spans="1:31" ht="22.5" customHeight="1">
      <c r="A74" s="70" t="s">
        <v>95</v>
      </c>
      <c r="B74" s="71" t="s">
        <v>14</v>
      </c>
      <c r="C74" s="59" t="s">
        <v>39</v>
      </c>
      <c r="D74" s="68"/>
      <c r="E74" s="56"/>
      <c r="F74" s="56"/>
      <c r="G74" s="68"/>
      <c r="H74" s="68"/>
      <c r="I74" s="68"/>
      <c r="J74" s="68"/>
      <c r="K74" s="68"/>
      <c r="L74" s="68"/>
      <c r="M74" s="68"/>
      <c r="N74" s="162"/>
      <c r="O74" s="56"/>
      <c r="P74" s="76"/>
      <c r="Q74" s="68"/>
      <c r="R74" s="76"/>
      <c r="S74" s="68"/>
      <c r="T74" s="76"/>
      <c r="U74" s="68"/>
      <c r="V74" s="76"/>
      <c r="W74" s="68"/>
      <c r="X74" s="76"/>
      <c r="Y74" s="68"/>
      <c r="Z74" s="76"/>
      <c r="AA74" s="68"/>
      <c r="AB74" s="76"/>
      <c r="AC74" s="68"/>
      <c r="AD74" s="68"/>
      <c r="AE74" s="68"/>
    </row>
    <row r="75" spans="1:31" ht="22.5" customHeight="1">
      <c r="A75" s="52" t="s">
        <v>34</v>
      </c>
      <c r="B75" s="61" t="s">
        <v>10</v>
      </c>
      <c r="C75" s="59" t="s">
        <v>1</v>
      </c>
      <c r="D75" s="68">
        <v>17</v>
      </c>
      <c r="E75" s="63">
        <v>17.3</v>
      </c>
      <c r="F75" s="63">
        <f>G75+H75+I75+J75+K75+L75+M75</f>
        <v>14.3</v>
      </c>
      <c r="G75" s="68">
        <v>0</v>
      </c>
      <c r="H75" s="68">
        <v>5</v>
      </c>
      <c r="I75" s="68">
        <v>0</v>
      </c>
      <c r="J75" s="68">
        <v>2</v>
      </c>
      <c r="K75" s="68">
        <v>6</v>
      </c>
      <c r="L75" s="68">
        <v>1.3</v>
      </c>
      <c r="M75" s="68">
        <v>0</v>
      </c>
      <c r="N75" s="162">
        <f>P75+R75+T75+V75+X75+Z75+AB75</f>
        <v>14.3</v>
      </c>
      <c r="O75" s="63">
        <f>Q75+S75+U75+W75+Y75+AA75+AC75</f>
        <v>0</v>
      </c>
      <c r="P75" s="75">
        <v>0</v>
      </c>
      <c r="Q75" s="68">
        <v>0</v>
      </c>
      <c r="R75" s="75">
        <v>5</v>
      </c>
      <c r="S75" s="68">
        <f>5-5</f>
        <v>0</v>
      </c>
      <c r="T75" s="75">
        <v>0</v>
      </c>
      <c r="U75" s="68">
        <v>0</v>
      </c>
      <c r="V75" s="75">
        <v>2</v>
      </c>
      <c r="W75" s="68">
        <f>2-2</f>
        <v>0</v>
      </c>
      <c r="X75" s="75">
        <v>6</v>
      </c>
      <c r="Y75" s="68">
        <f>6-6</f>
        <v>0</v>
      </c>
      <c r="Z75" s="75">
        <v>1.3</v>
      </c>
      <c r="AA75" s="68">
        <f>1.3-1.3</f>
        <v>0</v>
      </c>
      <c r="AB75" s="75">
        <v>0</v>
      </c>
      <c r="AC75" s="68">
        <v>0</v>
      </c>
      <c r="AD75" s="63">
        <f>O75/N75*100</f>
        <v>0</v>
      </c>
      <c r="AE75" s="68"/>
    </row>
    <row r="76" spans="1:31" ht="22.5" customHeight="1">
      <c r="A76" s="52" t="s">
        <v>35</v>
      </c>
      <c r="B76" s="61" t="s">
        <v>11</v>
      </c>
      <c r="C76" s="59" t="s">
        <v>2</v>
      </c>
      <c r="D76" s="68">
        <v>13</v>
      </c>
      <c r="E76" s="63">
        <v>13.204624277456647</v>
      </c>
      <c r="F76" s="63">
        <f>F77/F75*10</f>
        <v>13.440559440559438</v>
      </c>
      <c r="G76" s="68">
        <v>0</v>
      </c>
      <c r="H76" s="68">
        <v>14</v>
      </c>
      <c r="I76" s="68">
        <v>0</v>
      </c>
      <c r="J76" s="68">
        <v>13</v>
      </c>
      <c r="K76" s="68">
        <v>13</v>
      </c>
      <c r="L76" s="68">
        <v>14</v>
      </c>
      <c r="M76" s="68"/>
      <c r="N76" s="162">
        <f>N77/N75*10</f>
        <v>13.247552447552447</v>
      </c>
      <c r="O76" s="63"/>
      <c r="P76" s="69">
        <v>0</v>
      </c>
      <c r="Q76" s="68">
        <v>0</v>
      </c>
      <c r="R76" s="69">
        <v>13.5</v>
      </c>
      <c r="S76" s="68"/>
      <c r="T76" s="69">
        <v>0</v>
      </c>
      <c r="U76" s="68">
        <v>0</v>
      </c>
      <c r="V76" s="69">
        <v>13</v>
      </c>
      <c r="W76" s="68"/>
      <c r="X76" s="69">
        <v>13</v>
      </c>
      <c r="Y76" s="68"/>
      <c r="Z76" s="69">
        <f>13+0.8</f>
        <v>13.8</v>
      </c>
      <c r="AA76" s="68"/>
      <c r="AB76" s="69">
        <v>0</v>
      </c>
      <c r="AC76" s="68"/>
      <c r="AD76" s="68"/>
      <c r="AE76" s="68"/>
    </row>
    <row r="77" spans="1:31" ht="22.5" customHeight="1">
      <c r="A77" s="52" t="s">
        <v>34</v>
      </c>
      <c r="B77" s="61" t="s">
        <v>12</v>
      </c>
      <c r="C77" s="59" t="s">
        <v>36</v>
      </c>
      <c r="D77" s="68">
        <v>23</v>
      </c>
      <c r="E77" s="63">
        <v>22.844000000000001</v>
      </c>
      <c r="F77" s="63">
        <f>G77+H77+I77+J77+K77+L77+M77</f>
        <v>19.22</v>
      </c>
      <c r="G77" s="68">
        <f>G76*G75/10</f>
        <v>0</v>
      </c>
      <c r="H77" s="68">
        <f>H76*H75/10</f>
        <v>7</v>
      </c>
      <c r="I77" s="68">
        <f>I76*I75/10</f>
        <v>0</v>
      </c>
      <c r="J77" s="68">
        <f t="shared" ref="J77:L77" si="237">J76*J75/10</f>
        <v>2.6</v>
      </c>
      <c r="K77" s="68">
        <f t="shared" si="237"/>
        <v>7.8</v>
      </c>
      <c r="L77" s="68">
        <f t="shared" si="237"/>
        <v>1.8199999999999998</v>
      </c>
      <c r="M77" s="68"/>
      <c r="N77" s="162">
        <f>P77+R77+T77+V77+X77+Z77+AB77</f>
        <v>18.943999999999999</v>
      </c>
      <c r="O77" s="63">
        <f>Q77+S77+U77+W77+Y77+AA77+AC77</f>
        <v>0</v>
      </c>
      <c r="P77" s="76">
        <f>P75*P76/10</f>
        <v>0</v>
      </c>
      <c r="Q77" s="68">
        <f>Q76*Q75/10</f>
        <v>0</v>
      </c>
      <c r="R77" s="76">
        <f t="shared" ref="R77" si="238">R75*R76/10</f>
        <v>6.75</v>
      </c>
      <c r="S77" s="68">
        <f>S76*S75/10</f>
        <v>0</v>
      </c>
      <c r="T77" s="76">
        <f t="shared" ref="T77" si="239">T75*T76/10</f>
        <v>0</v>
      </c>
      <c r="U77" s="68">
        <f>U76*U75/10</f>
        <v>0</v>
      </c>
      <c r="V77" s="76">
        <f t="shared" ref="V77" si="240">V75*V76/10</f>
        <v>2.6</v>
      </c>
      <c r="W77" s="68">
        <f t="shared" ref="W77" si="241">W76*W75/10</f>
        <v>0</v>
      </c>
      <c r="X77" s="76">
        <f t="shared" ref="X77" si="242">X75*X76/10</f>
        <v>7.8</v>
      </c>
      <c r="Y77" s="68">
        <f t="shared" ref="Y77" si="243">Y76*Y75/10</f>
        <v>0</v>
      </c>
      <c r="Z77" s="76">
        <f t="shared" ref="Z77" si="244">Z75*Z76/10</f>
        <v>1.794</v>
      </c>
      <c r="AA77" s="68">
        <f t="shared" ref="AA77" si="245">AA76*AA75/10</f>
        <v>0</v>
      </c>
      <c r="AB77" s="76">
        <f t="shared" ref="AB77" si="246">AB75*AB76/10</f>
        <v>0</v>
      </c>
      <c r="AC77" s="68"/>
      <c r="AD77" s="68"/>
      <c r="AE77" s="68"/>
    </row>
    <row r="78" spans="1:31" ht="22.5" customHeight="1">
      <c r="A78" s="58" t="s">
        <v>30</v>
      </c>
      <c r="B78" s="53" t="s">
        <v>121</v>
      </c>
      <c r="C78" s="54" t="s">
        <v>1</v>
      </c>
      <c r="D78" s="92">
        <v>5867</v>
      </c>
      <c r="E78" s="56">
        <f t="shared" ref="E78:R78" si="247">E80+E86+E91+E97+E106</f>
        <v>6163.3</v>
      </c>
      <c r="F78" s="56">
        <f t="shared" si="247"/>
        <v>6290.03</v>
      </c>
      <c r="G78" s="92">
        <f t="shared" si="247"/>
        <v>158.9</v>
      </c>
      <c r="H78" s="92">
        <f t="shared" si="247"/>
        <v>900.37</v>
      </c>
      <c r="I78" s="92">
        <f t="shared" si="247"/>
        <v>910.7</v>
      </c>
      <c r="J78" s="92">
        <f t="shared" si="247"/>
        <v>2765.2</v>
      </c>
      <c r="K78" s="92">
        <f t="shared" si="247"/>
        <v>652.13</v>
      </c>
      <c r="L78" s="92">
        <f t="shared" si="247"/>
        <v>624.11</v>
      </c>
      <c r="M78" s="92">
        <f t="shared" si="247"/>
        <v>278.62</v>
      </c>
      <c r="N78" s="157">
        <f t="shared" si="247"/>
        <v>6530.03</v>
      </c>
      <c r="O78" s="56">
        <f t="shared" si="247"/>
        <v>6290.03</v>
      </c>
      <c r="P78" s="30">
        <f t="shared" si="247"/>
        <v>183.9</v>
      </c>
      <c r="Q78" s="92">
        <f t="shared" si="247"/>
        <v>158.9</v>
      </c>
      <c r="R78" s="93">
        <f t="shared" si="247"/>
        <v>947.37</v>
      </c>
      <c r="S78" s="92">
        <f t="shared" ref="S78:AB78" si="248">S80+S86+S91+S97+S106</f>
        <v>900.37</v>
      </c>
      <c r="T78" s="93">
        <f t="shared" si="248"/>
        <v>944.7</v>
      </c>
      <c r="U78" s="92">
        <f t="shared" si="248"/>
        <v>910.7</v>
      </c>
      <c r="V78" s="93">
        <f t="shared" si="248"/>
        <v>2808.2</v>
      </c>
      <c r="W78" s="92">
        <f t="shared" si="248"/>
        <v>2765.2</v>
      </c>
      <c r="X78" s="93">
        <f t="shared" si="248"/>
        <v>688.23</v>
      </c>
      <c r="Y78" s="92">
        <f t="shared" si="248"/>
        <v>652.13</v>
      </c>
      <c r="Z78" s="93">
        <f t="shared" si="248"/>
        <v>648.01</v>
      </c>
      <c r="AA78" s="92">
        <f>AA80+AA86+AA91+AA97+AA106</f>
        <v>624.11</v>
      </c>
      <c r="AB78" s="93">
        <f t="shared" si="248"/>
        <v>309.62</v>
      </c>
      <c r="AC78" s="92">
        <f>AC80+AC86+AC91+AC97+AC106</f>
        <v>278.62</v>
      </c>
      <c r="AD78" s="56">
        <f>O78/N78*100</f>
        <v>96.32467232156668</v>
      </c>
      <c r="AE78" s="92"/>
    </row>
    <row r="79" spans="1:31" ht="22.5" customHeight="1">
      <c r="A79" s="70">
        <v>1</v>
      </c>
      <c r="B79" s="71" t="s">
        <v>21</v>
      </c>
      <c r="C79" s="59" t="s">
        <v>39</v>
      </c>
      <c r="D79" s="68"/>
      <c r="E79" s="56"/>
      <c r="F79" s="56"/>
      <c r="G79" s="68"/>
      <c r="H79" s="68"/>
      <c r="I79" s="68"/>
      <c r="J79" s="68"/>
      <c r="K79" s="68"/>
      <c r="L79" s="68"/>
      <c r="M79" s="68"/>
      <c r="N79" s="162"/>
      <c r="O79" s="56"/>
      <c r="P79" s="76"/>
      <c r="Q79" s="68"/>
      <c r="R79" s="76"/>
      <c r="S79" s="68"/>
      <c r="T79" s="76"/>
      <c r="U79" s="68"/>
      <c r="V79" s="76"/>
      <c r="W79" s="68"/>
      <c r="X79" s="76"/>
      <c r="Y79" s="68"/>
      <c r="Z79" s="76"/>
      <c r="AA79" s="68"/>
      <c r="AB79" s="76"/>
      <c r="AC79" s="68"/>
      <c r="AD79" s="68"/>
      <c r="AE79" s="68"/>
    </row>
    <row r="80" spans="1:31" ht="22.5" customHeight="1">
      <c r="A80" s="52" t="s">
        <v>34</v>
      </c>
      <c r="B80" s="61" t="s">
        <v>10</v>
      </c>
      <c r="C80" s="59" t="s">
        <v>1</v>
      </c>
      <c r="D80" s="68">
        <v>825</v>
      </c>
      <c r="E80" s="63">
        <v>825.3</v>
      </c>
      <c r="F80" s="63">
        <f>G80+H80+I80+J80+K80+L80+M80</f>
        <v>888.5</v>
      </c>
      <c r="G80" s="68">
        <v>38.299999999999997</v>
      </c>
      <c r="H80" s="68">
        <v>49</v>
      </c>
      <c r="I80" s="68">
        <v>73</v>
      </c>
      <c r="J80" s="68">
        <f>60+J84</f>
        <v>61</v>
      </c>
      <c r="K80" s="68">
        <f>233+14</f>
        <v>247</v>
      </c>
      <c r="L80" s="68">
        <f>256+45.2</f>
        <v>301.2</v>
      </c>
      <c r="M80" s="68">
        <f>116+M84</f>
        <v>119</v>
      </c>
      <c r="N80" s="162">
        <f>P80+R80+T80+V80+X80+Z80+AB80</f>
        <v>888.5</v>
      </c>
      <c r="O80" s="63">
        <f>Q80+S80+U80+W80+Y80+AA80+AC80</f>
        <v>888.5</v>
      </c>
      <c r="P80" s="69">
        <v>38.299999999999997</v>
      </c>
      <c r="Q80" s="68">
        <v>38.299999999999997</v>
      </c>
      <c r="R80" s="69">
        <v>49</v>
      </c>
      <c r="S80" s="68">
        <v>49</v>
      </c>
      <c r="T80" s="69">
        <v>73</v>
      </c>
      <c r="U80" s="68">
        <v>73</v>
      </c>
      <c r="V80" s="69">
        <v>61</v>
      </c>
      <c r="W80" s="68">
        <f>60+W84</f>
        <v>61</v>
      </c>
      <c r="X80" s="69">
        <v>247</v>
      </c>
      <c r="Y80" s="68">
        <f>233+14</f>
        <v>247</v>
      </c>
      <c r="Z80" s="69">
        <v>301.2</v>
      </c>
      <c r="AA80" s="68">
        <f>256+45.2</f>
        <v>301.2</v>
      </c>
      <c r="AB80" s="69">
        <v>119</v>
      </c>
      <c r="AC80" s="68">
        <f>116+AC84</f>
        <v>119</v>
      </c>
      <c r="AD80" s="63">
        <f>O80/N80*100</f>
        <v>100</v>
      </c>
      <c r="AE80" s="68"/>
    </row>
    <row r="81" spans="1:31" ht="22.5" customHeight="1">
      <c r="A81" s="52" t="s">
        <v>3</v>
      </c>
      <c r="B81" s="61" t="s">
        <v>74</v>
      </c>
      <c r="C81" s="59" t="s">
        <v>1</v>
      </c>
      <c r="D81" s="68">
        <v>513</v>
      </c>
      <c r="E81" s="63">
        <v>562</v>
      </c>
      <c r="F81" s="63">
        <f>G81+H81+I81+J81+K81+L81+M81</f>
        <v>562</v>
      </c>
      <c r="G81" s="68">
        <v>18</v>
      </c>
      <c r="H81" s="68">
        <v>34</v>
      </c>
      <c r="I81" s="68">
        <v>25</v>
      </c>
      <c r="J81" s="68">
        <v>35</v>
      </c>
      <c r="K81" s="68">
        <v>115</v>
      </c>
      <c r="L81" s="68">
        <v>230</v>
      </c>
      <c r="M81" s="68">
        <v>105</v>
      </c>
      <c r="N81" s="162">
        <f>P81+R81+T81+V81+X81+Z81+AB81</f>
        <v>731</v>
      </c>
      <c r="O81" s="63">
        <f>Q81+S81+U81+W81+Y81+AA81+AC81</f>
        <v>562</v>
      </c>
      <c r="P81" s="69">
        <v>26</v>
      </c>
      <c r="Q81" s="68">
        <v>18</v>
      </c>
      <c r="R81" s="69">
        <v>45</v>
      </c>
      <c r="S81" s="68">
        <v>34</v>
      </c>
      <c r="T81" s="69">
        <v>60</v>
      </c>
      <c r="U81" s="68">
        <v>25</v>
      </c>
      <c r="V81" s="69">
        <v>55</v>
      </c>
      <c r="W81" s="68">
        <v>35</v>
      </c>
      <c r="X81" s="69">
        <v>200</v>
      </c>
      <c r="Y81" s="68">
        <v>115</v>
      </c>
      <c r="Z81" s="69">
        <v>240</v>
      </c>
      <c r="AA81" s="68">
        <v>230</v>
      </c>
      <c r="AB81" s="69">
        <v>105</v>
      </c>
      <c r="AC81" s="68">
        <v>105</v>
      </c>
      <c r="AD81" s="68"/>
      <c r="AE81" s="68"/>
    </row>
    <row r="82" spans="1:31" ht="22.5" customHeight="1">
      <c r="A82" s="52" t="s">
        <v>35</v>
      </c>
      <c r="B82" s="61" t="s">
        <v>11</v>
      </c>
      <c r="C82" s="59" t="s">
        <v>2</v>
      </c>
      <c r="D82" s="68">
        <v>10</v>
      </c>
      <c r="E82" s="63">
        <f>E83/E81*10</f>
        <v>9.795373665480426</v>
      </c>
      <c r="F82" s="63">
        <f>F83/F81*10</f>
        <v>9.795373665480426</v>
      </c>
      <c r="G82" s="68">
        <v>8</v>
      </c>
      <c r="H82" s="68">
        <v>9</v>
      </c>
      <c r="I82" s="68">
        <v>9</v>
      </c>
      <c r="J82" s="68">
        <v>9</v>
      </c>
      <c r="K82" s="68">
        <v>11</v>
      </c>
      <c r="L82" s="68">
        <v>11</v>
      </c>
      <c r="M82" s="68">
        <v>9</v>
      </c>
      <c r="N82" s="162">
        <f>N83/N81*10</f>
        <v>9.5266757865937066</v>
      </c>
      <c r="O82" s="63">
        <f>O83/O81*10</f>
        <v>0</v>
      </c>
      <c r="P82" s="69">
        <v>9</v>
      </c>
      <c r="Q82" s="68"/>
      <c r="R82" s="69">
        <v>10</v>
      </c>
      <c r="S82" s="68"/>
      <c r="T82" s="69">
        <v>9</v>
      </c>
      <c r="U82" s="68"/>
      <c r="V82" s="69">
        <v>9</v>
      </c>
      <c r="W82" s="68"/>
      <c r="X82" s="69">
        <v>11</v>
      </c>
      <c r="Y82" s="68"/>
      <c r="Z82" s="69">
        <v>11</v>
      </c>
      <c r="AA82" s="68"/>
      <c r="AB82" s="69">
        <v>9</v>
      </c>
      <c r="AC82" s="68"/>
      <c r="AD82" s="68"/>
      <c r="AE82" s="68"/>
    </row>
    <row r="83" spans="1:31" ht="22.5" customHeight="1">
      <c r="A83" s="52" t="s">
        <v>34</v>
      </c>
      <c r="B83" s="61" t="s">
        <v>12</v>
      </c>
      <c r="C83" s="59" t="s">
        <v>36</v>
      </c>
      <c r="D83" s="68">
        <v>509</v>
      </c>
      <c r="E83" s="63">
        <v>550.5</v>
      </c>
      <c r="F83" s="63">
        <f>G83+H83+I83+J83+K83+L83+M83</f>
        <v>550.5</v>
      </c>
      <c r="G83" s="68">
        <f t="shared" ref="G83:H83" si="249">G82*G81/10</f>
        <v>14.4</v>
      </c>
      <c r="H83" s="68">
        <f t="shared" si="249"/>
        <v>30.6</v>
      </c>
      <c r="I83" s="68">
        <v>0</v>
      </c>
      <c r="J83" s="68">
        <f>J82*J81/10</f>
        <v>31.5</v>
      </c>
      <c r="K83" s="68">
        <f t="shared" ref="K83:M83" si="250">K82*K81/10</f>
        <v>126.5</v>
      </c>
      <c r="L83" s="68">
        <f t="shared" si="250"/>
        <v>253</v>
      </c>
      <c r="M83" s="68">
        <f t="shared" si="250"/>
        <v>94.5</v>
      </c>
      <c r="N83" s="162">
        <f>P83+R83+T83+V83+X83+Z83+AB83</f>
        <v>696.4</v>
      </c>
      <c r="O83" s="63">
        <f>Q83+S83+U83+W83+Y83+AA83+AC83</f>
        <v>0</v>
      </c>
      <c r="P83" s="69">
        <f>P82*P81/10</f>
        <v>23.4</v>
      </c>
      <c r="Q83" s="68"/>
      <c r="R83" s="69">
        <f>R82*R81/10</f>
        <v>45</v>
      </c>
      <c r="S83" s="68">
        <f t="shared" ref="S83" si="251">S82*S81/10</f>
        <v>0</v>
      </c>
      <c r="T83" s="69">
        <v>0</v>
      </c>
      <c r="U83" s="68">
        <v>0</v>
      </c>
      <c r="V83" s="69">
        <f>V82*V81/10</f>
        <v>49.5</v>
      </c>
      <c r="W83" s="68">
        <f>W82*W81/10</f>
        <v>0</v>
      </c>
      <c r="X83" s="69">
        <f>X82*X81/10</f>
        <v>220</v>
      </c>
      <c r="Y83" s="68">
        <f t="shared" ref="Y83" si="252">Y82*Y81/10</f>
        <v>0</v>
      </c>
      <c r="Z83" s="69">
        <f>Z82*Z81/10</f>
        <v>264</v>
      </c>
      <c r="AA83" s="68">
        <f t="shared" ref="AA83" si="253">AA82*AA81/10</f>
        <v>0</v>
      </c>
      <c r="AB83" s="69">
        <f>AB82*AB81/10</f>
        <v>94.5</v>
      </c>
      <c r="AC83" s="68">
        <f t="shared" ref="AC83" si="254">AC82*AC81/10</f>
        <v>0</v>
      </c>
      <c r="AD83" s="68"/>
      <c r="AE83" s="68"/>
    </row>
    <row r="84" spans="1:31" s="13" customFormat="1" ht="22.5" customHeight="1">
      <c r="A84" s="81" t="s">
        <v>3</v>
      </c>
      <c r="B84" s="79" t="s">
        <v>82</v>
      </c>
      <c r="C84" s="94" t="s">
        <v>1</v>
      </c>
      <c r="D84" s="83">
        <v>17</v>
      </c>
      <c r="E84" s="56"/>
      <c r="F84" s="63">
        <f>G84+H84+I84+J84+K84+L84+M84</f>
        <v>63.2</v>
      </c>
      <c r="G84" s="83"/>
      <c r="H84" s="83"/>
      <c r="I84" s="83"/>
      <c r="J84" s="83">
        <v>1</v>
      </c>
      <c r="K84" s="83">
        <v>14</v>
      </c>
      <c r="L84" s="83">
        <v>45.2</v>
      </c>
      <c r="M84" s="83">
        <v>3</v>
      </c>
      <c r="N84" s="163"/>
      <c r="O84" s="63"/>
      <c r="P84" s="91"/>
      <c r="Q84" s="83"/>
      <c r="R84" s="91"/>
      <c r="S84" s="83"/>
      <c r="T84" s="91"/>
      <c r="U84" s="83"/>
      <c r="V84" s="91"/>
      <c r="W84" s="83">
        <v>1</v>
      </c>
      <c r="X84" s="91"/>
      <c r="Y84" s="83">
        <v>14</v>
      </c>
      <c r="Z84" s="91"/>
      <c r="AA84" s="83">
        <v>45.2</v>
      </c>
      <c r="AB84" s="91"/>
      <c r="AC84" s="83">
        <v>3</v>
      </c>
      <c r="AD84" s="83"/>
      <c r="AE84" s="83"/>
    </row>
    <row r="85" spans="1:31" ht="22.5" customHeight="1">
      <c r="A85" s="70">
        <v>2</v>
      </c>
      <c r="B85" s="71" t="s">
        <v>22</v>
      </c>
      <c r="C85" s="59" t="s">
        <v>39</v>
      </c>
      <c r="D85" s="68"/>
      <c r="E85" s="56"/>
      <c r="F85" s="56"/>
      <c r="G85" s="68"/>
      <c r="H85" s="68"/>
      <c r="I85" s="68"/>
      <c r="J85" s="68"/>
      <c r="K85" s="68"/>
      <c r="L85" s="68"/>
      <c r="M85" s="68"/>
      <c r="N85" s="162"/>
      <c r="O85" s="56"/>
      <c r="P85" s="76"/>
      <c r="Q85" s="68"/>
      <c r="R85" s="76"/>
      <c r="S85" s="68"/>
      <c r="T85" s="76"/>
      <c r="U85" s="68"/>
      <c r="V85" s="76"/>
      <c r="W85" s="68"/>
      <c r="X85" s="76"/>
      <c r="Y85" s="68"/>
      <c r="Z85" s="76"/>
      <c r="AA85" s="68"/>
      <c r="AB85" s="76"/>
      <c r="AC85" s="68"/>
      <c r="AD85" s="68"/>
      <c r="AE85" s="68"/>
    </row>
    <row r="86" spans="1:31" ht="22.5" customHeight="1">
      <c r="A86" s="52" t="s">
        <v>34</v>
      </c>
      <c r="B86" s="61" t="s">
        <v>10</v>
      </c>
      <c r="C86" s="59" t="s">
        <v>1</v>
      </c>
      <c r="D86" s="68">
        <v>62</v>
      </c>
      <c r="E86" s="63">
        <v>62.36</v>
      </c>
      <c r="F86" s="63">
        <f>G86+H86+I86+J86+K86+L86+M86</f>
        <v>62.459999999999994</v>
      </c>
      <c r="G86" s="68">
        <v>2</v>
      </c>
      <c r="H86" s="68">
        <v>3.2</v>
      </c>
      <c r="I86" s="68">
        <f>0+I89</f>
        <v>0</v>
      </c>
      <c r="J86" s="68">
        <v>10.6</v>
      </c>
      <c r="K86" s="68">
        <v>21.36</v>
      </c>
      <c r="L86" s="68">
        <f>21.7+0.1</f>
        <v>21.8</v>
      </c>
      <c r="M86" s="68">
        <v>3.5</v>
      </c>
      <c r="N86" s="162">
        <f>P86+R86+T86+V86+X86+Z86+AB86</f>
        <v>62.460000000000008</v>
      </c>
      <c r="O86" s="63">
        <f>Q86+S86+U86+W86+Y86+AA86+AC86</f>
        <v>62.459999999999994</v>
      </c>
      <c r="P86" s="69">
        <v>2</v>
      </c>
      <c r="Q86" s="68">
        <v>2</v>
      </c>
      <c r="R86" s="69">
        <v>3.2</v>
      </c>
      <c r="S86" s="68">
        <v>3.2</v>
      </c>
      <c r="T86" s="69">
        <f>0+T89</f>
        <v>0</v>
      </c>
      <c r="U86" s="68">
        <f>0+U89</f>
        <v>0</v>
      </c>
      <c r="V86" s="69">
        <v>10.6</v>
      </c>
      <c r="W86" s="68">
        <v>10.6</v>
      </c>
      <c r="X86" s="69">
        <f>21.36+0.1</f>
        <v>21.46</v>
      </c>
      <c r="Y86" s="68">
        <v>21.36</v>
      </c>
      <c r="Z86" s="69">
        <v>21.7</v>
      </c>
      <c r="AA86" s="68">
        <f>21.7+0.1</f>
        <v>21.8</v>
      </c>
      <c r="AB86" s="69">
        <v>3.5</v>
      </c>
      <c r="AC86" s="68">
        <v>3.5</v>
      </c>
      <c r="AD86" s="63">
        <f>O86/N86*100</f>
        <v>99.999999999999972</v>
      </c>
      <c r="AE86" s="68"/>
    </row>
    <row r="87" spans="1:31" ht="22.5" customHeight="1">
      <c r="A87" s="52" t="s">
        <v>35</v>
      </c>
      <c r="B87" s="61" t="s">
        <v>11</v>
      </c>
      <c r="C87" s="59" t="s">
        <v>2</v>
      </c>
      <c r="D87" s="68">
        <v>15</v>
      </c>
      <c r="E87" s="63">
        <f>E88/E86*10</f>
        <v>15.571840923669019</v>
      </c>
      <c r="F87" s="63">
        <f>F88/F86*10</f>
        <v>15.572526416906822</v>
      </c>
      <c r="G87" s="68">
        <v>15</v>
      </c>
      <c r="H87" s="68">
        <v>16</v>
      </c>
      <c r="I87" s="68">
        <v>0</v>
      </c>
      <c r="J87" s="68">
        <v>14</v>
      </c>
      <c r="K87" s="68">
        <v>16</v>
      </c>
      <c r="L87" s="68">
        <v>16</v>
      </c>
      <c r="M87" s="68">
        <v>15</v>
      </c>
      <c r="N87" s="162">
        <f>N88/N86*10</f>
        <v>15.572526416906818</v>
      </c>
      <c r="O87" s="63">
        <f>O88/O86*10</f>
        <v>15.572526416906822</v>
      </c>
      <c r="P87" s="69">
        <v>15</v>
      </c>
      <c r="Q87" s="68">
        <v>15</v>
      </c>
      <c r="R87" s="69">
        <v>16</v>
      </c>
      <c r="S87" s="68">
        <v>16</v>
      </c>
      <c r="T87" s="69"/>
      <c r="U87" s="68">
        <v>0</v>
      </c>
      <c r="V87" s="69">
        <v>14</v>
      </c>
      <c r="W87" s="68">
        <v>14</v>
      </c>
      <c r="X87" s="69">
        <v>16</v>
      </c>
      <c r="Y87" s="68">
        <v>16</v>
      </c>
      <c r="Z87" s="69">
        <v>16</v>
      </c>
      <c r="AA87" s="68">
        <v>16</v>
      </c>
      <c r="AB87" s="69">
        <v>15</v>
      </c>
      <c r="AC87" s="68">
        <v>15</v>
      </c>
      <c r="AD87" s="68"/>
      <c r="AE87" s="68"/>
    </row>
    <row r="88" spans="1:31" ht="22.5" customHeight="1">
      <c r="A88" s="52" t="s">
        <v>34</v>
      </c>
      <c r="B88" s="61" t="s">
        <v>12</v>
      </c>
      <c r="C88" s="59" t="s">
        <v>36</v>
      </c>
      <c r="D88" s="68">
        <v>97</v>
      </c>
      <c r="E88" s="63">
        <v>97.105999999999995</v>
      </c>
      <c r="F88" s="63">
        <f>G88+H88+I88+J88+K88+L88+M88</f>
        <v>97.266000000000005</v>
      </c>
      <c r="G88" s="68">
        <f t="shared" ref="G88:M88" si="255">G87*G86/10</f>
        <v>3</v>
      </c>
      <c r="H88" s="68">
        <f t="shared" si="255"/>
        <v>5.12</v>
      </c>
      <c r="I88" s="68">
        <f t="shared" si="255"/>
        <v>0</v>
      </c>
      <c r="J88" s="68">
        <f t="shared" si="255"/>
        <v>14.84</v>
      </c>
      <c r="K88" s="68">
        <f t="shared" si="255"/>
        <v>34.176000000000002</v>
      </c>
      <c r="L88" s="68">
        <f t="shared" si="255"/>
        <v>34.880000000000003</v>
      </c>
      <c r="M88" s="68">
        <f t="shared" si="255"/>
        <v>5.25</v>
      </c>
      <c r="N88" s="162">
        <f>P88+R88+T88+V88+X88+Z88+AB88</f>
        <v>97.265999999999991</v>
      </c>
      <c r="O88" s="63">
        <f>Q88+S88+U88+W88+Y88+AA88+AC88</f>
        <v>97.266000000000005</v>
      </c>
      <c r="P88" s="69">
        <f t="shared" ref="P88" si="256">P87*P86/10</f>
        <v>3</v>
      </c>
      <c r="Q88" s="68">
        <f t="shared" ref="Q88:R88" si="257">Q87*Q86/10</f>
        <v>3</v>
      </c>
      <c r="R88" s="69">
        <f t="shared" si="257"/>
        <v>5.12</v>
      </c>
      <c r="S88" s="68">
        <f t="shared" ref="S88:T88" si="258">S87*S86/10</f>
        <v>5.12</v>
      </c>
      <c r="T88" s="69">
        <f t="shared" si="258"/>
        <v>0</v>
      </c>
      <c r="U88" s="68">
        <f t="shared" ref="U88:V88" si="259">U87*U86/10</f>
        <v>0</v>
      </c>
      <c r="V88" s="69">
        <f t="shared" si="259"/>
        <v>14.84</v>
      </c>
      <c r="W88" s="68">
        <f t="shared" ref="W88:X88" si="260">W87*W86/10</f>
        <v>14.84</v>
      </c>
      <c r="X88" s="69">
        <f t="shared" si="260"/>
        <v>34.335999999999999</v>
      </c>
      <c r="Y88" s="68">
        <f t="shared" ref="Y88:Z88" si="261">Y87*Y86/10</f>
        <v>34.176000000000002</v>
      </c>
      <c r="Z88" s="69">
        <f t="shared" si="261"/>
        <v>34.72</v>
      </c>
      <c r="AA88" s="68">
        <f t="shared" ref="AA88:AB88" si="262">AA87*AA86/10</f>
        <v>34.880000000000003</v>
      </c>
      <c r="AB88" s="69">
        <f t="shared" si="262"/>
        <v>5.25</v>
      </c>
      <c r="AC88" s="68">
        <f t="shared" ref="AC88" si="263">AC87*AC86/10</f>
        <v>5.25</v>
      </c>
      <c r="AD88" s="68"/>
      <c r="AE88" s="68"/>
    </row>
    <row r="89" spans="1:31" ht="22.5" customHeight="1">
      <c r="A89" s="52"/>
      <c r="B89" s="79" t="s">
        <v>71</v>
      </c>
      <c r="C89" s="59" t="s">
        <v>1</v>
      </c>
      <c r="D89" s="68">
        <v>1</v>
      </c>
      <c r="E89" s="56"/>
      <c r="F89" s="56"/>
      <c r="G89" s="68"/>
      <c r="H89" s="68"/>
      <c r="I89" s="68"/>
      <c r="J89" s="68"/>
      <c r="K89" s="68"/>
      <c r="L89" s="68">
        <v>0.1</v>
      </c>
      <c r="M89" s="68"/>
      <c r="N89" s="162"/>
      <c r="O89" s="56"/>
      <c r="P89" s="75"/>
      <c r="Q89" s="68"/>
      <c r="R89" s="75"/>
      <c r="S89" s="68"/>
      <c r="T89" s="75"/>
      <c r="U89" s="68"/>
      <c r="V89" s="75"/>
      <c r="W89" s="68"/>
      <c r="X89" s="75"/>
      <c r="Y89" s="68"/>
      <c r="Z89" s="75"/>
      <c r="AA89" s="68">
        <v>0.1</v>
      </c>
      <c r="AB89" s="75"/>
      <c r="AC89" s="68"/>
      <c r="AD89" s="68"/>
      <c r="AE89" s="68"/>
    </row>
    <row r="90" spans="1:31" ht="22.5" customHeight="1">
      <c r="A90" s="70">
        <v>3</v>
      </c>
      <c r="B90" s="71" t="s">
        <v>23</v>
      </c>
      <c r="C90" s="59" t="s">
        <v>39</v>
      </c>
      <c r="D90" s="68"/>
      <c r="E90" s="56"/>
      <c r="F90" s="56"/>
      <c r="G90" s="68"/>
      <c r="H90" s="68"/>
      <c r="I90" s="68"/>
      <c r="J90" s="68"/>
      <c r="K90" s="68"/>
      <c r="L90" s="68"/>
      <c r="M90" s="68"/>
      <c r="N90" s="162"/>
      <c r="O90" s="56"/>
      <c r="P90" s="76"/>
      <c r="Q90" s="68"/>
      <c r="R90" s="76"/>
      <c r="S90" s="68"/>
      <c r="T90" s="76"/>
      <c r="U90" s="68"/>
      <c r="V90" s="76"/>
      <c r="W90" s="68"/>
      <c r="X90" s="76"/>
      <c r="Y90" s="68"/>
      <c r="Z90" s="76"/>
      <c r="AA90" s="68"/>
      <c r="AB90" s="76"/>
      <c r="AC90" s="68"/>
      <c r="AD90" s="68"/>
      <c r="AE90" s="68"/>
    </row>
    <row r="91" spans="1:31" ht="22.5" customHeight="1">
      <c r="A91" s="52" t="s">
        <v>34</v>
      </c>
      <c r="B91" s="61" t="s">
        <v>10</v>
      </c>
      <c r="C91" s="59" t="s">
        <v>1</v>
      </c>
      <c r="D91" s="68">
        <v>3605</v>
      </c>
      <c r="E91" s="63">
        <v>3605.1</v>
      </c>
      <c r="F91" s="63">
        <f>G91+H91+I91+J91+K91+L91+M91</f>
        <v>3659.1</v>
      </c>
      <c r="G91" s="68">
        <v>5</v>
      </c>
      <c r="H91" s="68">
        <v>651</v>
      </c>
      <c r="I91" s="68">
        <v>105</v>
      </c>
      <c r="J91" s="68">
        <f>2483.1+25</f>
        <v>2508.1</v>
      </c>
      <c r="K91" s="68">
        <f>209+15</f>
        <v>224</v>
      </c>
      <c r="L91" s="68">
        <f>147.8+14</f>
        <v>161.80000000000001</v>
      </c>
      <c r="M91" s="68">
        <v>4.2</v>
      </c>
      <c r="N91" s="162">
        <f t="shared" ref="N91:O93" si="264">P91+R91+T91+V91+X91+Z91+AB91</f>
        <v>3659.1</v>
      </c>
      <c r="O91" s="63">
        <f t="shared" si="264"/>
        <v>3659.1</v>
      </c>
      <c r="P91" s="69">
        <v>5</v>
      </c>
      <c r="Q91" s="68">
        <v>5</v>
      </c>
      <c r="R91" s="69">
        <v>651</v>
      </c>
      <c r="S91" s="68">
        <v>651</v>
      </c>
      <c r="T91" s="69">
        <v>105</v>
      </c>
      <c r="U91" s="68">
        <v>105</v>
      </c>
      <c r="V91" s="69">
        <f>2477.1+6+25</f>
        <v>2508.1</v>
      </c>
      <c r="W91" s="68">
        <f>2483.1+25</f>
        <v>2508.1</v>
      </c>
      <c r="X91" s="69">
        <f>209+15</f>
        <v>224</v>
      </c>
      <c r="Y91" s="68">
        <f>209+15</f>
        <v>224</v>
      </c>
      <c r="Z91" s="69">
        <f>147.8+14</f>
        <v>161.80000000000001</v>
      </c>
      <c r="AA91" s="68">
        <f>147.8+14</f>
        <v>161.80000000000001</v>
      </c>
      <c r="AB91" s="69">
        <v>4.2</v>
      </c>
      <c r="AC91" s="68">
        <v>4.2</v>
      </c>
      <c r="AD91" s="63">
        <f>O91/N91*100</f>
        <v>100</v>
      </c>
      <c r="AE91" s="68"/>
    </row>
    <row r="92" spans="1:31" ht="22.5" customHeight="1">
      <c r="A92" s="52" t="s">
        <v>34</v>
      </c>
      <c r="B92" s="61" t="s">
        <v>127</v>
      </c>
      <c r="C92" s="59" t="s">
        <v>1</v>
      </c>
      <c r="D92" s="68">
        <v>1799</v>
      </c>
      <c r="E92" s="63">
        <v>1799.1</v>
      </c>
      <c r="F92" s="63">
        <f>G92+H92+I92+J92+K92+L92+M92</f>
        <v>1799.1</v>
      </c>
      <c r="G92" s="68">
        <v>0</v>
      </c>
      <c r="H92" s="68">
        <v>205</v>
      </c>
      <c r="I92" s="68">
        <v>0</v>
      </c>
      <c r="J92" s="68">
        <v>1594.1</v>
      </c>
      <c r="K92" s="68">
        <v>0</v>
      </c>
      <c r="L92" s="68">
        <v>0</v>
      </c>
      <c r="M92" s="68">
        <v>0</v>
      </c>
      <c r="N92" s="162">
        <f t="shared" si="264"/>
        <v>1799.1</v>
      </c>
      <c r="O92" s="63">
        <f t="shared" si="264"/>
        <v>1799.1</v>
      </c>
      <c r="P92" s="69">
        <v>0</v>
      </c>
      <c r="Q92" s="68">
        <v>0</v>
      </c>
      <c r="R92" s="69">
        <v>205</v>
      </c>
      <c r="S92" s="68">
        <v>205</v>
      </c>
      <c r="T92" s="69">
        <v>0</v>
      </c>
      <c r="U92" s="68">
        <v>0</v>
      </c>
      <c r="V92" s="69">
        <v>1594.1</v>
      </c>
      <c r="W92" s="68">
        <v>1594.1</v>
      </c>
      <c r="X92" s="69">
        <v>0</v>
      </c>
      <c r="Y92" s="68">
        <v>0</v>
      </c>
      <c r="Z92" s="69">
        <v>0</v>
      </c>
      <c r="AA92" s="68">
        <v>0</v>
      </c>
      <c r="AB92" s="69">
        <v>0</v>
      </c>
      <c r="AC92" s="68">
        <v>0</v>
      </c>
      <c r="AD92" s="68"/>
      <c r="AE92" s="68"/>
    </row>
    <row r="93" spans="1:31" ht="22.5" customHeight="1">
      <c r="A93" s="52" t="s">
        <v>3</v>
      </c>
      <c r="B93" s="61" t="s">
        <v>83</v>
      </c>
      <c r="C93" s="59" t="s">
        <v>1</v>
      </c>
      <c r="D93" s="68">
        <v>1385</v>
      </c>
      <c r="E93" s="63">
        <v>1784.2</v>
      </c>
      <c r="F93" s="63">
        <f>G93+H93+I93+J93+K93+L93+M93</f>
        <v>1421.2</v>
      </c>
      <c r="G93" s="68">
        <v>5</v>
      </c>
      <c r="H93" s="68">
        <v>105</v>
      </c>
      <c r="I93" s="68">
        <v>25</v>
      </c>
      <c r="J93" s="68">
        <v>1050</v>
      </c>
      <c r="K93" s="68">
        <v>180</v>
      </c>
      <c r="L93" s="68">
        <v>52</v>
      </c>
      <c r="M93" s="68">
        <v>4.2</v>
      </c>
      <c r="N93" s="162">
        <f t="shared" si="264"/>
        <v>3086.1</v>
      </c>
      <c r="O93" s="63">
        <f t="shared" si="264"/>
        <v>1421.2</v>
      </c>
      <c r="P93" s="69">
        <v>5</v>
      </c>
      <c r="Q93" s="68">
        <v>5</v>
      </c>
      <c r="R93" s="69">
        <v>480</v>
      </c>
      <c r="S93" s="68">
        <v>105</v>
      </c>
      <c r="T93" s="69">
        <v>85</v>
      </c>
      <c r="U93" s="68">
        <v>25</v>
      </c>
      <c r="V93" s="69">
        <f>2200-8.1</f>
        <v>2191.9</v>
      </c>
      <c r="W93" s="68">
        <v>1050</v>
      </c>
      <c r="X93" s="69">
        <v>200</v>
      </c>
      <c r="Y93" s="68">
        <v>180</v>
      </c>
      <c r="Z93" s="69">
        <v>120</v>
      </c>
      <c r="AA93" s="68">
        <v>52</v>
      </c>
      <c r="AB93" s="69">
        <v>4.2</v>
      </c>
      <c r="AC93" s="68">
        <v>4.2</v>
      </c>
      <c r="AD93" s="68"/>
      <c r="AE93" s="68"/>
    </row>
    <row r="94" spans="1:31" ht="22.5" customHeight="1">
      <c r="A94" s="52" t="s">
        <v>35</v>
      </c>
      <c r="B94" s="61" t="s">
        <v>11</v>
      </c>
      <c r="C94" s="59" t="s">
        <v>2</v>
      </c>
      <c r="D94" s="68">
        <v>15</v>
      </c>
      <c r="E94" s="63">
        <f>E95/E93*10</f>
        <v>15</v>
      </c>
      <c r="F94" s="63">
        <f>F95/F93*10</f>
        <v>15.191387559808611</v>
      </c>
      <c r="G94" s="68">
        <v>15</v>
      </c>
      <c r="H94" s="68">
        <v>15.2</v>
      </c>
      <c r="I94" s="68">
        <v>15.2</v>
      </c>
      <c r="J94" s="68">
        <v>15.2</v>
      </c>
      <c r="K94" s="68">
        <v>15.2</v>
      </c>
      <c r="L94" s="68">
        <v>15</v>
      </c>
      <c r="M94" s="68">
        <v>15</v>
      </c>
      <c r="N94" s="162">
        <f>N95/N93*10</f>
        <v>15.000000000000002</v>
      </c>
      <c r="O94" s="63">
        <f>O95/O93*10</f>
        <v>0</v>
      </c>
      <c r="P94" s="69">
        <v>15</v>
      </c>
      <c r="Q94" s="68"/>
      <c r="R94" s="69">
        <v>15</v>
      </c>
      <c r="S94" s="68"/>
      <c r="T94" s="69">
        <v>15</v>
      </c>
      <c r="U94" s="68"/>
      <c r="V94" s="69">
        <v>15</v>
      </c>
      <c r="W94" s="68"/>
      <c r="X94" s="69">
        <v>15</v>
      </c>
      <c r="Y94" s="68"/>
      <c r="Z94" s="69">
        <v>15</v>
      </c>
      <c r="AA94" s="68"/>
      <c r="AB94" s="69">
        <v>15</v>
      </c>
      <c r="AC94" s="68"/>
      <c r="AD94" s="68"/>
      <c r="AE94" s="68"/>
    </row>
    <row r="95" spans="1:31" ht="22.5" customHeight="1">
      <c r="A95" s="52" t="s">
        <v>34</v>
      </c>
      <c r="B95" s="61" t="s">
        <v>12</v>
      </c>
      <c r="C95" s="59" t="s">
        <v>36</v>
      </c>
      <c r="D95" s="68">
        <v>2105</v>
      </c>
      <c r="E95" s="63">
        <v>2676.3</v>
      </c>
      <c r="F95" s="63">
        <f>G95+H95+I95+J95+K95+L95+M95</f>
        <v>2159</v>
      </c>
      <c r="G95" s="68">
        <f t="shared" ref="G95:M95" si="265">G94*G93/10</f>
        <v>7.5</v>
      </c>
      <c r="H95" s="68">
        <f t="shared" si="265"/>
        <v>159.6</v>
      </c>
      <c r="I95" s="68">
        <f t="shared" si="265"/>
        <v>38</v>
      </c>
      <c r="J95" s="68">
        <f t="shared" si="265"/>
        <v>1596</v>
      </c>
      <c r="K95" s="68">
        <f t="shared" si="265"/>
        <v>273.60000000000002</v>
      </c>
      <c r="L95" s="68">
        <f t="shared" si="265"/>
        <v>78</v>
      </c>
      <c r="M95" s="68">
        <f t="shared" si="265"/>
        <v>6.3</v>
      </c>
      <c r="N95" s="162">
        <f>P95+R95+T95+V95+X95+Z95+AB95</f>
        <v>4629.1500000000005</v>
      </c>
      <c r="O95" s="63">
        <f>Q95+S95+U95+W95+Y95+AA95+AC95</f>
        <v>0</v>
      </c>
      <c r="P95" s="69">
        <f t="shared" ref="P95" si="266">P94*P93/10</f>
        <v>7.5</v>
      </c>
      <c r="Q95" s="68">
        <f t="shared" ref="Q95:R95" si="267">Q94*Q93/10</f>
        <v>0</v>
      </c>
      <c r="R95" s="69">
        <f t="shared" si="267"/>
        <v>720</v>
      </c>
      <c r="S95" s="68">
        <f t="shared" ref="S95:T95" si="268">S94*S93/10</f>
        <v>0</v>
      </c>
      <c r="T95" s="69">
        <f t="shared" si="268"/>
        <v>127.5</v>
      </c>
      <c r="U95" s="68">
        <f t="shared" ref="U95:V95" si="269">U94*U93/10</f>
        <v>0</v>
      </c>
      <c r="V95" s="69">
        <f t="shared" si="269"/>
        <v>3287.85</v>
      </c>
      <c r="W95" s="68">
        <f t="shared" ref="W95:X95" si="270">W94*W93/10</f>
        <v>0</v>
      </c>
      <c r="X95" s="69">
        <f t="shared" si="270"/>
        <v>300</v>
      </c>
      <c r="Y95" s="68">
        <f t="shared" ref="Y95:Z95" si="271">Y94*Y93/10</f>
        <v>0</v>
      </c>
      <c r="Z95" s="69">
        <f t="shared" si="271"/>
        <v>180</v>
      </c>
      <c r="AA95" s="68">
        <f t="shared" ref="AA95:AB95" si="272">AA94*AA93/10</f>
        <v>0</v>
      </c>
      <c r="AB95" s="69">
        <f t="shared" si="272"/>
        <v>6.3</v>
      </c>
      <c r="AC95" s="68">
        <f t="shared" ref="AC95" si="273">AC94*AC93/10</f>
        <v>0</v>
      </c>
      <c r="AD95" s="68"/>
      <c r="AE95" s="68"/>
    </row>
    <row r="96" spans="1:31" ht="22.5" customHeight="1">
      <c r="A96" s="52"/>
      <c r="B96" s="79" t="s">
        <v>71</v>
      </c>
      <c r="C96" s="59" t="s">
        <v>1</v>
      </c>
      <c r="D96" s="68"/>
      <c r="E96" s="63"/>
      <c r="F96" s="63">
        <f>G96+H96+I96+J96+K96+L96+M96</f>
        <v>54</v>
      </c>
      <c r="G96" s="68"/>
      <c r="H96" s="68"/>
      <c r="I96" s="68"/>
      <c r="J96" s="68">
        <v>25</v>
      </c>
      <c r="K96" s="68">
        <v>15</v>
      </c>
      <c r="L96" s="68">
        <v>14</v>
      </c>
      <c r="M96" s="68"/>
      <c r="N96" s="162"/>
      <c r="O96" s="63"/>
      <c r="P96" s="76"/>
      <c r="Q96" s="68"/>
      <c r="R96" s="76"/>
      <c r="S96" s="68"/>
      <c r="T96" s="76"/>
      <c r="U96" s="68"/>
      <c r="V96" s="76"/>
      <c r="W96" s="68"/>
      <c r="X96" s="76"/>
      <c r="Y96" s="68"/>
      <c r="Z96" s="76"/>
      <c r="AA96" s="68"/>
      <c r="AB96" s="76"/>
      <c r="AC96" s="68"/>
      <c r="AD96" s="68"/>
      <c r="AE96" s="68"/>
    </row>
    <row r="97" spans="1:31" s="14" customFormat="1" ht="22.5" customHeight="1">
      <c r="A97" s="70">
        <v>4</v>
      </c>
      <c r="B97" s="71" t="s">
        <v>102</v>
      </c>
      <c r="C97" s="95" t="s">
        <v>39</v>
      </c>
      <c r="D97" s="96">
        <v>1021</v>
      </c>
      <c r="E97" s="56">
        <f>E98+E99</f>
        <v>1225.9000000000001</v>
      </c>
      <c r="F97" s="56">
        <f>F98+F99</f>
        <v>1231.22</v>
      </c>
      <c r="G97" s="55">
        <f t="shared" ref="G97:M97" si="274">G98+G99</f>
        <v>93.3</v>
      </c>
      <c r="H97" s="96">
        <f t="shared" si="274"/>
        <v>77.42</v>
      </c>
      <c r="I97" s="96">
        <f t="shared" si="274"/>
        <v>607.20000000000005</v>
      </c>
      <c r="J97" s="96">
        <f t="shared" si="274"/>
        <v>142.69999999999999</v>
      </c>
      <c r="K97" s="96">
        <f t="shared" si="274"/>
        <v>118</v>
      </c>
      <c r="L97" s="96">
        <f t="shared" si="274"/>
        <v>105.80000000000001</v>
      </c>
      <c r="M97" s="96">
        <f t="shared" si="274"/>
        <v>86.8</v>
      </c>
      <c r="N97" s="165">
        <f>N98+N99</f>
        <v>1401.22</v>
      </c>
      <c r="O97" s="56">
        <f>O98+O99</f>
        <v>1231.22</v>
      </c>
      <c r="P97" s="57">
        <f>P98+P99</f>
        <v>108.3</v>
      </c>
      <c r="Q97" s="55">
        <f t="shared" ref="Q97" si="275">Q98+Q99</f>
        <v>93.3</v>
      </c>
      <c r="R97" s="57">
        <f>R98+R99</f>
        <v>104.42</v>
      </c>
      <c r="S97" s="96">
        <f t="shared" ref="S97" si="276">S98+S99</f>
        <v>77.42</v>
      </c>
      <c r="T97" s="57">
        <f>T98+T99</f>
        <v>633.20000000000005</v>
      </c>
      <c r="U97" s="96">
        <f t="shared" ref="U97" si="277">U98+U99</f>
        <v>607.20000000000005</v>
      </c>
      <c r="V97" s="57">
        <f>V98+V99</f>
        <v>175.7</v>
      </c>
      <c r="W97" s="96">
        <f t="shared" ref="W97" si="278">W98+W99</f>
        <v>142.69999999999999</v>
      </c>
      <c r="X97" s="57">
        <f>X98+X99</f>
        <v>147</v>
      </c>
      <c r="Y97" s="96">
        <f t="shared" ref="Y97" si="279">Y98+Y99</f>
        <v>118</v>
      </c>
      <c r="Z97" s="57">
        <f>Z98+Z99</f>
        <v>124.80000000000001</v>
      </c>
      <c r="AA97" s="96">
        <f t="shared" ref="AA97" si="280">AA98+AA99</f>
        <v>105.80000000000001</v>
      </c>
      <c r="AB97" s="57">
        <f>AB98+AB99</f>
        <v>107.8</v>
      </c>
      <c r="AC97" s="96">
        <f t="shared" ref="AC97" si="281">AC98+AC99</f>
        <v>86.8</v>
      </c>
      <c r="AD97" s="56">
        <f>O97/N97*100</f>
        <v>87.867715276687463</v>
      </c>
      <c r="AE97" s="96"/>
    </row>
    <row r="98" spans="1:31" ht="22.5" customHeight="1">
      <c r="A98" s="52" t="s">
        <v>34</v>
      </c>
      <c r="B98" s="61" t="s">
        <v>103</v>
      </c>
      <c r="C98" s="59" t="s">
        <v>1</v>
      </c>
      <c r="D98" s="68">
        <v>610</v>
      </c>
      <c r="E98" s="63">
        <v>1020.9000000000002</v>
      </c>
      <c r="F98" s="63">
        <f>G98+H98+I98+J98+K98+L98+M98</f>
        <v>1020.9</v>
      </c>
      <c r="G98" s="68">
        <v>81.099999999999994</v>
      </c>
      <c r="H98" s="97">
        <v>60.32</v>
      </c>
      <c r="I98" s="97">
        <v>496.5</v>
      </c>
      <c r="J98" s="97">
        <v>121.2</v>
      </c>
      <c r="K98" s="97">
        <v>97.5</v>
      </c>
      <c r="L98" s="97">
        <v>92.68</v>
      </c>
      <c r="M98" s="97">
        <v>71.599999999999994</v>
      </c>
      <c r="N98" s="162">
        <f>P98+R98+T98+V98+X98+Z98+AB98</f>
        <v>1231.22</v>
      </c>
      <c r="O98" s="63">
        <f>Q98+S98+U98+W98+Y98+AA98+AC98</f>
        <v>1231.22</v>
      </c>
      <c r="P98" s="73">
        <f>81.1+12.2</f>
        <v>93.3</v>
      </c>
      <c r="Q98" s="68">
        <f>P98</f>
        <v>93.3</v>
      </c>
      <c r="R98" s="73">
        <f>60.32+17.1</f>
        <v>77.42</v>
      </c>
      <c r="S98" s="97">
        <f>R98</f>
        <v>77.42</v>
      </c>
      <c r="T98" s="73">
        <f>496.5+20.7+90</f>
        <v>607.20000000000005</v>
      </c>
      <c r="U98" s="97">
        <f>T98</f>
        <v>607.20000000000005</v>
      </c>
      <c r="V98" s="73">
        <f>121.2+21.5</f>
        <v>142.69999999999999</v>
      </c>
      <c r="W98" s="97">
        <f>V98</f>
        <v>142.69999999999999</v>
      </c>
      <c r="X98" s="73">
        <f>97.5+20.5</f>
        <v>118</v>
      </c>
      <c r="Y98" s="97">
        <f>X98</f>
        <v>118</v>
      </c>
      <c r="Z98" s="73">
        <f>92.68+13.12</f>
        <v>105.80000000000001</v>
      </c>
      <c r="AA98" s="97">
        <f>Z98</f>
        <v>105.80000000000001</v>
      </c>
      <c r="AB98" s="73">
        <f>71.6+15.2</f>
        <v>86.8</v>
      </c>
      <c r="AC98" s="97">
        <f>AB98</f>
        <v>86.8</v>
      </c>
      <c r="AD98" s="97"/>
      <c r="AE98" s="97"/>
    </row>
    <row r="99" spans="1:31" ht="22.5" customHeight="1">
      <c r="A99" s="58" t="s">
        <v>34</v>
      </c>
      <c r="B99" s="53" t="s">
        <v>124</v>
      </c>
      <c r="C99" s="54" t="s">
        <v>1</v>
      </c>
      <c r="D99" s="55">
        <v>410.9</v>
      </c>
      <c r="E99" s="56">
        <f>E100+E101</f>
        <v>205</v>
      </c>
      <c r="F99" s="56">
        <f>F100+F101</f>
        <v>210.32</v>
      </c>
      <c r="G99" s="55">
        <f t="shared" ref="G99:M99" si="282">G100+G101</f>
        <v>12.2</v>
      </c>
      <c r="H99" s="55">
        <f t="shared" si="282"/>
        <v>17.100000000000001</v>
      </c>
      <c r="I99" s="55">
        <f t="shared" si="282"/>
        <v>110.7</v>
      </c>
      <c r="J99" s="55">
        <f t="shared" si="282"/>
        <v>21.5</v>
      </c>
      <c r="K99" s="55">
        <f t="shared" si="282"/>
        <v>20.5</v>
      </c>
      <c r="L99" s="55">
        <f t="shared" si="282"/>
        <v>13.12</v>
      </c>
      <c r="M99" s="55">
        <f t="shared" si="282"/>
        <v>15.2</v>
      </c>
      <c r="N99" s="158">
        <f>N102+N103+N104+N105</f>
        <v>170</v>
      </c>
      <c r="O99" s="56">
        <f>O100+O101</f>
        <v>0</v>
      </c>
      <c r="P99" s="57">
        <f>P102+P103+P104+P105</f>
        <v>15</v>
      </c>
      <c r="Q99" s="56">
        <f t="shared" ref="Q99:AC99" si="283">Q102+Q103+Q104+Q105</f>
        <v>0</v>
      </c>
      <c r="R99" s="57">
        <f t="shared" si="283"/>
        <v>27</v>
      </c>
      <c r="S99" s="56">
        <f t="shared" si="283"/>
        <v>0</v>
      </c>
      <c r="T99" s="57">
        <f t="shared" si="283"/>
        <v>26</v>
      </c>
      <c r="U99" s="56">
        <f t="shared" si="283"/>
        <v>0</v>
      </c>
      <c r="V99" s="57">
        <f t="shared" si="283"/>
        <v>33</v>
      </c>
      <c r="W99" s="56">
        <f t="shared" si="283"/>
        <v>0</v>
      </c>
      <c r="X99" s="57">
        <f t="shared" si="283"/>
        <v>29</v>
      </c>
      <c r="Y99" s="56">
        <f t="shared" si="283"/>
        <v>0</v>
      </c>
      <c r="Z99" s="57">
        <f t="shared" si="283"/>
        <v>19</v>
      </c>
      <c r="AA99" s="56">
        <f t="shared" si="283"/>
        <v>0</v>
      </c>
      <c r="AB99" s="57">
        <f t="shared" si="283"/>
        <v>21</v>
      </c>
      <c r="AC99" s="56">
        <f t="shared" si="283"/>
        <v>0</v>
      </c>
      <c r="AD99" s="63"/>
      <c r="AE99" s="55"/>
    </row>
    <row r="100" spans="1:31" ht="22.5" hidden="1" customHeight="1">
      <c r="A100" s="98" t="s">
        <v>115</v>
      </c>
      <c r="B100" s="79" t="s">
        <v>126</v>
      </c>
      <c r="C100" s="59" t="s">
        <v>1</v>
      </c>
      <c r="D100" s="83">
        <v>170.9</v>
      </c>
      <c r="E100" s="63">
        <v>115</v>
      </c>
      <c r="F100" s="63">
        <f>G100+H100+I100+J100+K100+L100+M100</f>
        <v>120.32000000000001</v>
      </c>
      <c r="G100" s="83">
        <v>12.2</v>
      </c>
      <c r="H100" s="83">
        <v>17.100000000000001</v>
      </c>
      <c r="I100" s="83">
        <v>20.7</v>
      </c>
      <c r="J100" s="83">
        <v>21.5</v>
      </c>
      <c r="K100" s="83">
        <v>20.5</v>
      </c>
      <c r="L100" s="83">
        <v>13.12</v>
      </c>
      <c r="M100" s="83">
        <v>15.2</v>
      </c>
      <c r="N100" s="163"/>
      <c r="O100" s="63">
        <f>Q100+S100+U100+W100+Y100+AA100+AC100</f>
        <v>0</v>
      </c>
      <c r="P100" s="65"/>
      <c r="Q100" s="83"/>
      <c r="R100" s="65"/>
      <c r="S100" s="83"/>
      <c r="T100" s="65"/>
      <c r="U100" s="83"/>
      <c r="V100" s="65"/>
      <c r="W100" s="83"/>
      <c r="X100" s="65"/>
      <c r="Y100" s="83"/>
      <c r="Z100" s="65"/>
      <c r="AA100" s="83"/>
      <c r="AB100" s="65"/>
      <c r="AC100" s="83"/>
      <c r="AD100" s="83"/>
      <c r="AE100" s="83"/>
    </row>
    <row r="101" spans="1:31" ht="22.5" hidden="1" customHeight="1">
      <c r="A101" s="98" t="s">
        <v>115</v>
      </c>
      <c r="B101" s="79" t="s">
        <v>125</v>
      </c>
      <c r="C101" s="59" t="s">
        <v>1</v>
      </c>
      <c r="D101" s="83">
        <v>240</v>
      </c>
      <c r="E101" s="63">
        <v>90</v>
      </c>
      <c r="F101" s="63">
        <f>G101+H101+I101+J101+K101+L101+M101</f>
        <v>90</v>
      </c>
      <c r="G101" s="83"/>
      <c r="H101" s="83">
        <v>0</v>
      </c>
      <c r="I101" s="83">
        <v>90</v>
      </c>
      <c r="J101" s="83"/>
      <c r="K101" s="83">
        <v>0</v>
      </c>
      <c r="L101" s="83"/>
      <c r="M101" s="83"/>
      <c r="N101" s="163"/>
      <c r="O101" s="63">
        <f>Q101+S101+U101+W101+Y101+AA101+AC101</f>
        <v>0</v>
      </c>
      <c r="P101" s="65"/>
      <c r="Q101" s="83"/>
      <c r="R101" s="65"/>
      <c r="S101" s="83"/>
      <c r="T101" s="65"/>
      <c r="U101" s="83"/>
      <c r="V101" s="65"/>
      <c r="W101" s="83"/>
      <c r="X101" s="65"/>
      <c r="Y101" s="83"/>
      <c r="Z101" s="65"/>
      <c r="AA101" s="83"/>
      <c r="AB101" s="65"/>
      <c r="AC101" s="83"/>
      <c r="AD101" s="83"/>
      <c r="AE101" s="83"/>
    </row>
    <row r="102" spans="1:31" ht="22.5" customHeight="1">
      <c r="A102" s="99" t="s">
        <v>149</v>
      </c>
      <c r="B102" s="100" t="s">
        <v>150</v>
      </c>
      <c r="C102" s="59"/>
      <c r="D102" s="83"/>
      <c r="E102" s="63"/>
      <c r="F102" s="63"/>
      <c r="G102" s="83"/>
      <c r="H102" s="83"/>
      <c r="I102" s="83"/>
      <c r="J102" s="83"/>
      <c r="K102" s="83"/>
      <c r="L102" s="83"/>
      <c r="M102" s="83"/>
      <c r="N102" s="163">
        <f>P102+R102+T102+V102+X102+Z102+AB102</f>
        <v>50</v>
      </c>
      <c r="O102" s="63"/>
      <c r="P102" s="90">
        <v>8</v>
      </c>
      <c r="Q102" s="83"/>
      <c r="R102" s="90">
        <v>8</v>
      </c>
      <c r="S102" s="83"/>
      <c r="T102" s="90">
        <v>8</v>
      </c>
      <c r="U102" s="83"/>
      <c r="V102" s="90">
        <v>8</v>
      </c>
      <c r="W102" s="83"/>
      <c r="X102" s="90">
        <v>8</v>
      </c>
      <c r="Y102" s="83"/>
      <c r="Z102" s="90">
        <v>4</v>
      </c>
      <c r="AA102" s="83"/>
      <c r="AB102" s="90">
        <v>6</v>
      </c>
      <c r="AC102" s="83"/>
      <c r="AD102" s="83"/>
      <c r="AE102" s="83"/>
    </row>
    <row r="103" spans="1:31" ht="22.5" customHeight="1">
      <c r="A103" s="99" t="s">
        <v>149</v>
      </c>
      <c r="B103" s="100" t="s">
        <v>151</v>
      </c>
      <c r="C103" s="59"/>
      <c r="D103" s="83"/>
      <c r="E103" s="63"/>
      <c r="F103" s="63"/>
      <c r="G103" s="83"/>
      <c r="H103" s="83"/>
      <c r="I103" s="83"/>
      <c r="J103" s="83"/>
      <c r="K103" s="83"/>
      <c r="L103" s="83"/>
      <c r="M103" s="83"/>
      <c r="N103" s="163">
        <f t="shared" ref="N103:N108" si="284">P103+R103+T103+V103+X103+Z103+AB103</f>
        <v>20</v>
      </c>
      <c r="O103" s="63"/>
      <c r="P103" s="90">
        <v>3</v>
      </c>
      <c r="Q103" s="83"/>
      <c r="R103" s="90">
        <v>3</v>
      </c>
      <c r="S103" s="83"/>
      <c r="T103" s="90">
        <v>4</v>
      </c>
      <c r="U103" s="83"/>
      <c r="V103" s="90">
        <v>4</v>
      </c>
      <c r="W103" s="83"/>
      <c r="X103" s="90">
        <v>2</v>
      </c>
      <c r="Y103" s="83"/>
      <c r="Z103" s="90">
        <v>2</v>
      </c>
      <c r="AA103" s="83"/>
      <c r="AB103" s="90">
        <v>2</v>
      </c>
      <c r="AC103" s="83"/>
      <c r="AD103" s="83"/>
      <c r="AE103" s="83"/>
    </row>
    <row r="104" spans="1:31" ht="22.5" customHeight="1">
      <c r="A104" s="99" t="s">
        <v>149</v>
      </c>
      <c r="B104" s="100" t="s">
        <v>152</v>
      </c>
      <c r="C104" s="59"/>
      <c r="D104" s="83"/>
      <c r="E104" s="63"/>
      <c r="F104" s="63"/>
      <c r="G104" s="83"/>
      <c r="H104" s="83"/>
      <c r="I104" s="83"/>
      <c r="J104" s="83"/>
      <c r="K104" s="83"/>
      <c r="L104" s="83"/>
      <c r="M104" s="83"/>
      <c r="N104" s="163">
        <f t="shared" si="284"/>
        <v>70</v>
      </c>
      <c r="O104" s="63"/>
      <c r="P104" s="90">
        <v>0</v>
      </c>
      <c r="Q104" s="83"/>
      <c r="R104" s="90">
        <v>12</v>
      </c>
      <c r="S104" s="83"/>
      <c r="T104" s="90">
        <v>10</v>
      </c>
      <c r="U104" s="83"/>
      <c r="V104" s="90">
        <v>15</v>
      </c>
      <c r="W104" s="83"/>
      <c r="X104" s="90">
        <v>15</v>
      </c>
      <c r="Y104" s="83"/>
      <c r="Z104" s="90">
        <v>10</v>
      </c>
      <c r="AA104" s="83"/>
      <c r="AB104" s="90">
        <v>8</v>
      </c>
      <c r="AC104" s="83"/>
      <c r="AD104" s="83"/>
      <c r="AE104" s="83"/>
    </row>
    <row r="105" spans="1:31" ht="22.5" customHeight="1">
      <c r="A105" s="99" t="s">
        <v>149</v>
      </c>
      <c r="B105" s="100" t="s">
        <v>153</v>
      </c>
      <c r="C105" s="59"/>
      <c r="D105" s="83"/>
      <c r="E105" s="63"/>
      <c r="F105" s="63"/>
      <c r="G105" s="83"/>
      <c r="H105" s="83"/>
      <c r="I105" s="83"/>
      <c r="J105" s="83"/>
      <c r="K105" s="83"/>
      <c r="L105" s="83"/>
      <c r="M105" s="83"/>
      <c r="N105" s="163">
        <f t="shared" si="284"/>
        <v>30</v>
      </c>
      <c r="O105" s="63"/>
      <c r="P105" s="90">
        <v>4</v>
      </c>
      <c r="Q105" s="83"/>
      <c r="R105" s="90">
        <v>4</v>
      </c>
      <c r="S105" s="83"/>
      <c r="T105" s="90">
        <v>4</v>
      </c>
      <c r="U105" s="83"/>
      <c r="V105" s="90">
        <v>6</v>
      </c>
      <c r="W105" s="83"/>
      <c r="X105" s="90">
        <v>4</v>
      </c>
      <c r="Y105" s="83"/>
      <c r="Z105" s="90">
        <v>3</v>
      </c>
      <c r="AA105" s="83"/>
      <c r="AB105" s="90">
        <v>5</v>
      </c>
      <c r="AC105" s="83"/>
      <c r="AD105" s="83"/>
      <c r="AE105" s="83"/>
    </row>
    <row r="106" spans="1:31" s="14" customFormat="1" ht="22.5" customHeight="1">
      <c r="A106" s="70">
        <v>5</v>
      </c>
      <c r="B106" s="71" t="s">
        <v>97</v>
      </c>
      <c r="C106" s="95" t="s">
        <v>1</v>
      </c>
      <c r="D106" s="92">
        <v>353.6</v>
      </c>
      <c r="E106" s="56">
        <f>E107+E108</f>
        <v>444.64</v>
      </c>
      <c r="F106" s="56">
        <f>F107+F108</f>
        <v>448.75</v>
      </c>
      <c r="G106" s="92">
        <f>G107+G108</f>
        <v>20.3</v>
      </c>
      <c r="H106" s="92">
        <f t="shared" ref="H106:M106" si="285">H107+H108</f>
        <v>119.75</v>
      </c>
      <c r="I106" s="92">
        <f t="shared" si="285"/>
        <v>125.5</v>
      </c>
      <c r="J106" s="92">
        <f t="shared" si="285"/>
        <v>42.8</v>
      </c>
      <c r="K106" s="92">
        <f t="shared" si="285"/>
        <v>41.769999999999996</v>
      </c>
      <c r="L106" s="92">
        <f t="shared" si="285"/>
        <v>33.51</v>
      </c>
      <c r="M106" s="92">
        <f t="shared" si="285"/>
        <v>65.12</v>
      </c>
      <c r="N106" s="166">
        <f>N107+N108</f>
        <v>518.75</v>
      </c>
      <c r="O106" s="56">
        <f>O107+O108</f>
        <v>448.75</v>
      </c>
      <c r="P106" s="57">
        <f>P107+P108</f>
        <v>30.3</v>
      </c>
      <c r="Q106" s="92">
        <f>Q107+Q108</f>
        <v>20.3</v>
      </c>
      <c r="R106" s="57">
        <f>R107+R108</f>
        <v>139.75</v>
      </c>
      <c r="S106" s="92">
        <f t="shared" ref="S106" si="286">S107+S108</f>
        <v>119.75</v>
      </c>
      <c r="T106" s="57">
        <f>T107+T108</f>
        <v>133.5</v>
      </c>
      <c r="U106" s="92">
        <f t="shared" ref="U106" si="287">U107+U108</f>
        <v>125.5</v>
      </c>
      <c r="V106" s="57">
        <f>V107+V108</f>
        <v>52.8</v>
      </c>
      <c r="W106" s="92">
        <f t="shared" ref="W106" si="288">W107+W108</f>
        <v>42.8</v>
      </c>
      <c r="X106" s="57">
        <f>X107+X108</f>
        <v>48.769999999999996</v>
      </c>
      <c r="Y106" s="92">
        <f t="shared" ref="Y106" si="289">Y107+Y108</f>
        <v>41.769999999999996</v>
      </c>
      <c r="Z106" s="57">
        <f>Z107+Z108</f>
        <v>38.510000000000005</v>
      </c>
      <c r="AA106" s="92">
        <f t="shared" ref="AA106" si="290">AA107+AA108</f>
        <v>33.510000000000005</v>
      </c>
      <c r="AB106" s="57">
        <f>AB107+AB108</f>
        <v>75.12</v>
      </c>
      <c r="AC106" s="92">
        <f t="shared" ref="AC106" si="291">AC107+AC108</f>
        <v>65.12</v>
      </c>
      <c r="AD106" s="176">
        <f>O106/N106*100</f>
        <v>86.506024096385545</v>
      </c>
      <c r="AE106" s="92"/>
    </row>
    <row r="107" spans="1:31" ht="22.5" customHeight="1">
      <c r="A107" s="52" t="s">
        <v>3</v>
      </c>
      <c r="B107" s="61" t="s">
        <v>103</v>
      </c>
      <c r="C107" s="59" t="s">
        <v>1</v>
      </c>
      <c r="D107" s="83">
        <v>273</v>
      </c>
      <c r="E107" s="56">
        <v>353.64</v>
      </c>
      <c r="F107" s="56">
        <f>G107+H107+I107+J107+K107+L107+M107</f>
        <v>353.64</v>
      </c>
      <c r="G107" s="101">
        <f>2+5.8</f>
        <v>7.8</v>
      </c>
      <c r="H107" s="101">
        <f>93.4+12.05</f>
        <v>105.45</v>
      </c>
      <c r="I107" s="101">
        <f>103+8</f>
        <v>111</v>
      </c>
      <c r="J107" s="101">
        <v>27.8</v>
      </c>
      <c r="K107" s="101">
        <v>26.57</v>
      </c>
      <c r="L107" s="101">
        <f>15.5+7.2</f>
        <v>22.7</v>
      </c>
      <c r="M107" s="101">
        <f>29.02+23.3</f>
        <v>52.32</v>
      </c>
      <c r="N107" s="163">
        <f t="shared" si="284"/>
        <v>448.75</v>
      </c>
      <c r="O107" s="56">
        <f>Q107+S107+U107+W107+Y107+AA107+AC107</f>
        <v>448.75</v>
      </c>
      <c r="P107" s="102">
        <f>2+5.8+12.5</f>
        <v>20.3</v>
      </c>
      <c r="Q107" s="103">
        <f>P107</f>
        <v>20.3</v>
      </c>
      <c r="R107" s="102">
        <f>93.4+12.05+14.3</f>
        <v>119.75</v>
      </c>
      <c r="S107" s="103">
        <f>R107</f>
        <v>119.75</v>
      </c>
      <c r="T107" s="102">
        <f>103+8+14.5</f>
        <v>125.5</v>
      </c>
      <c r="U107" s="103">
        <f>T107</f>
        <v>125.5</v>
      </c>
      <c r="V107" s="102">
        <f>27.8+15</f>
        <v>42.8</v>
      </c>
      <c r="W107" s="103">
        <f>V107</f>
        <v>42.8</v>
      </c>
      <c r="X107" s="102">
        <f>26.57+15.2</f>
        <v>41.769999999999996</v>
      </c>
      <c r="Y107" s="103">
        <f>X107</f>
        <v>41.769999999999996</v>
      </c>
      <c r="Z107" s="102">
        <f>15.51+7.2+10.8</f>
        <v>33.510000000000005</v>
      </c>
      <c r="AA107" s="103">
        <f>Z107</f>
        <v>33.510000000000005</v>
      </c>
      <c r="AB107" s="102">
        <f>29.02+23.3+12.8</f>
        <v>65.12</v>
      </c>
      <c r="AC107" s="103">
        <f>AB107</f>
        <v>65.12</v>
      </c>
      <c r="AD107" s="103"/>
      <c r="AE107" s="101"/>
    </row>
    <row r="108" spans="1:31" ht="22.5" customHeight="1">
      <c r="A108" s="58" t="s">
        <v>3</v>
      </c>
      <c r="B108" s="53" t="s">
        <v>129</v>
      </c>
      <c r="C108" s="54"/>
      <c r="D108" s="96">
        <v>80.400000000000006</v>
      </c>
      <c r="E108" s="56">
        <f>E109</f>
        <v>91</v>
      </c>
      <c r="F108" s="56">
        <f>F109+F110</f>
        <v>95.11</v>
      </c>
      <c r="G108" s="96">
        <f>G109+G110</f>
        <v>12.5</v>
      </c>
      <c r="H108" s="96">
        <f>H109+H110</f>
        <v>14.3</v>
      </c>
      <c r="I108" s="96">
        <f t="shared" ref="I108:M108" si="292">I109+I110</f>
        <v>14.5</v>
      </c>
      <c r="J108" s="96">
        <f t="shared" si="292"/>
        <v>15</v>
      </c>
      <c r="K108" s="96">
        <f t="shared" si="292"/>
        <v>15.2</v>
      </c>
      <c r="L108" s="96">
        <f t="shared" si="292"/>
        <v>10.81</v>
      </c>
      <c r="M108" s="96">
        <f t="shared" si="292"/>
        <v>12.8</v>
      </c>
      <c r="N108" s="165">
        <f t="shared" si="284"/>
        <v>70</v>
      </c>
      <c r="O108" s="56">
        <f>Q108+S108+U108+W108+Y108+AA108+AC108</f>
        <v>0</v>
      </c>
      <c r="P108" s="57">
        <v>10</v>
      </c>
      <c r="Q108" s="96">
        <f>Q109+Q110</f>
        <v>0</v>
      </c>
      <c r="R108" s="57">
        <v>20</v>
      </c>
      <c r="S108" s="96">
        <f>S109+S110</f>
        <v>0</v>
      </c>
      <c r="T108" s="57">
        <v>8</v>
      </c>
      <c r="U108" s="96">
        <f t="shared" ref="U108" si="293">U109+U110</f>
        <v>0</v>
      </c>
      <c r="V108" s="57">
        <v>10</v>
      </c>
      <c r="W108" s="96">
        <f t="shared" ref="W108" si="294">W109+W110</f>
        <v>0</v>
      </c>
      <c r="X108" s="57">
        <v>7</v>
      </c>
      <c r="Y108" s="96">
        <f t="shared" ref="Y108" si="295">Y109+Y110</f>
        <v>0</v>
      </c>
      <c r="Z108" s="57">
        <v>5</v>
      </c>
      <c r="AA108" s="96">
        <f t="shared" ref="AA108" si="296">AA109+AA110</f>
        <v>0</v>
      </c>
      <c r="AB108" s="57">
        <v>10</v>
      </c>
      <c r="AC108" s="96">
        <f t="shared" ref="AC108" si="297">AC109+AC110</f>
        <v>0</v>
      </c>
      <c r="AD108" s="83"/>
      <c r="AE108" s="96"/>
    </row>
    <row r="109" spans="1:31" s="13" customFormat="1" ht="22.5" hidden="1" customHeight="1">
      <c r="A109" s="104" t="s">
        <v>115</v>
      </c>
      <c r="B109" s="79" t="s">
        <v>105</v>
      </c>
      <c r="C109" s="82" t="s">
        <v>1</v>
      </c>
      <c r="D109" s="83">
        <v>80.400000000000006</v>
      </c>
      <c r="E109" s="56">
        <v>91</v>
      </c>
      <c r="F109" s="56">
        <f>G109+H109+I109+J109+K109+L109+M109</f>
        <v>95.11</v>
      </c>
      <c r="G109" s="83">
        <v>12.5</v>
      </c>
      <c r="H109" s="83">
        <v>14.3</v>
      </c>
      <c r="I109" s="83">
        <v>14.5</v>
      </c>
      <c r="J109" s="83">
        <v>15</v>
      </c>
      <c r="K109" s="83">
        <v>15.2</v>
      </c>
      <c r="L109" s="83">
        <v>10.81</v>
      </c>
      <c r="M109" s="83">
        <v>12.8</v>
      </c>
      <c r="N109" s="163"/>
      <c r="O109" s="56">
        <f>Q109+S109+U109+W109+Y109+AA109+AC109</f>
        <v>0</v>
      </c>
      <c r="P109" s="56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</row>
    <row r="110" spans="1:31" s="13" customFormat="1" ht="22.5" hidden="1" customHeight="1">
      <c r="A110" s="104" t="s">
        <v>115</v>
      </c>
      <c r="B110" s="79" t="s">
        <v>106</v>
      </c>
      <c r="C110" s="82" t="s">
        <v>1</v>
      </c>
      <c r="D110" s="83">
        <v>0</v>
      </c>
      <c r="E110" s="56"/>
      <c r="F110" s="56">
        <f>G110+H110+I110+J110+K110+L110+M110</f>
        <v>0</v>
      </c>
      <c r="G110" s="83">
        <v>0</v>
      </c>
      <c r="H110" s="83">
        <v>0</v>
      </c>
      <c r="I110" s="83">
        <v>0</v>
      </c>
      <c r="J110" s="83">
        <v>0</v>
      </c>
      <c r="K110" s="83">
        <v>0</v>
      </c>
      <c r="L110" s="83">
        <v>0</v>
      </c>
      <c r="M110" s="83">
        <v>0</v>
      </c>
      <c r="N110" s="163"/>
      <c r="O110" s="56">
        <f>Q110+S110+U110+W110+Y110+AA110+AC110</f>
        <v>0</v>
      </c>
      <c r="P110" s="56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</row>
    <row r="111" spans="1:31" ht="22.5" customHeight="1">
      <c r="A111" s="58" t="s">
        <v>96</v>
      </c>
      <c r="B111" s="53" t="s">
        <v>75</v>
      </c>
      <c r="C111" s="54" t="s">
        <v>1</v>
      </c>
      <c r="D111" s="105">
        <v>3143</v>
      </c>
      <c r="E111" s="56">
        <f>E112+E113</f>
        <v>3294.87</v>
      </c>
      <c r="F111" s="56">
        <f t="shared" ref="F111:M111" si="298">F112+F113</f>
        <v>3227.12</v>
      </c>
      <c r="G111" s="105">
        <f t="shared" si="298"/>
        <v>630.1</v>
      </c>
      <c r="H111" s="105">
        <f t="shared" si="298"/>
        <v>283.70000000000005</v>
      </c>
      <c r="I111" s="105">
        <f t="shared" si="298"/>
        <v>472.48</v>
      </c>
      <c r="J111" s="105">
        <f t="shared" si="298"/>
        <v>450.02000000000004</v>
      </c>
      <c r="K111" s="105">
        <f t="shared" si="298"/>
        <v>390.64</v>
      </c>
      <c r="L111" s="105">
        <f t="shared" si="298"/>
        <v>474.70000000000005</v>
      </c>
      <c r="M111" s="105">
        <f t="shared" si="298"/>
        <v>335</v>
      </c>
      <c r="N111" s="167">
        <f>N112+N113</f>
        <v>3367.1200000000003</v>
      </c>
      <c r="O111" s="56">
        <f t="shared" ref="O111" si="299">O112+O113</f>
        <v>3152.1200000000003</v>
      </c>
      <c r="P111" s="57"/>
      <c r="Q111" s="105">
        <f t="shared" ref="Q111" si="300">Q112+Q113</f>
        <v>617.1</v>
      </c>
      <c r="R111" s="57"/>
      <c r="S111" s="105">
        <f t="shared" ref="S111" si="301">S112+S113</f>
        <v>275.70000000000005</v>
      </c>
      <c r="T111" s="57"/>
      <c r="U111" s="105">
        <f t="shared" ref="U111" si="302">U112+U113</f>
        <v>466.48</v>
      </c>
      <c r="V111" s="57"/>
      <c r="W111" s="105">
        <f t="shared" ref="W111" si="303">W112+W113</f>
        <v>435.02000000000004</v>
      </c>
      <c r="X111" s="57"/>
      <c r="Y111" s="105">
        <f t="shared" ref="Y111" si="304">Y112+Y113</f>
        <v>378.64</v>
      </c>
      <c r="Z111" s="57"/>
      <c r="AA111" s="105">
        <f t="shared" ref="AA111" si="305">AA112+AA113</f>
        <v>458.70000000000005</v>
      </c>
      <c r="AB111" s="57"/>
      <c r="AC111" s="105">
        <f t="shared" ref="AC111" si="306">AC112+AC113</f>
        <v>330</v>
      </c>
      <c r="AD111" s="56">
        <f>O111/N111*100</f>
        <v>93.614721186058119</v>
      </c>
      <c r="AE111" s="105"/>
    </row>
    <row r="112" spans="1:31" s="12" customFormat="1" ht="22.5" customHeight="1">
      <c r="A112" s="58">
        <v>1</v>
      </c>
      <c r="B112" s="53" t="s">
        <v>24</v>
      </c>
      <c r="C112" s="54" t="s">
        <v>1</v>
      </c>
      <c r="D112" s="55">
        <v>1899</v>
      </c>
      <c r="E112" s="56">
        <v>1720</v>
      </c>
      <c r="F112" s="56">
        <f>G112+H112+I112+J112+K112+L112+M112</f>
        <v>1646.93</v>
      </c>
      <c r="G112" s="55">
        <v>471</v>
      </c>
      <c r="H112" s="55">
        <v>150</v>
      </c>
      <c r="I112" s="55">
        <f>152-10.37-1.2</f>
        <v>140.43</v>
      </c>
      <c r="J112" s="55">
        <f>225-27.5</f>
        <v>197.5</v>
      </c>
      <c r="K112" s="55">
        <f>252-29</f>
        <v>223</v>
      </c>
      <c r="L112" s="55">
        <v>239</v>
      </c>
      <c r="M112" s="55">
        <f>226</f>
        <v>226</v>
      </c>
      <c r="N112" s="165">
        <f t="shared" ref="N112" si="307">P112+R112+T112+V112+X112+Z112+AB112</f>
        <v>1546.93</v>
      </c>
      <c r="O112" s="56">
        <f>Q112+S112+U112+W112+Y112+AA112+AC112</f>
        <v>1571.93</v>
      </c>
      <c r="P112" s="106">
        <f>471-14</f>
        <v>457</v>
      </c>
      <c r="Q112" s="55">
        <f>471-10-3</f>
        <v>458</v>
      </c>
      <c r="R112" s="106">
        <f>150-24</f>
        <v>126</v>
      </c>
      <c r="S112" s="55">
        <f>150-8</f>
        <v>142</v>
      </c>
      <c r="T112" s="106">
        <f>140.43-12</f>
        <v>128.43</v>
      </c>
      <c r="U112" s="55">
        <f>152-10.37-1.2-6</f>
        <v>134.43</v>
      </c>
      <c r="V112" s="106">
        <f>197.5-16</f>
        <v>181.5</v>
      </c>
      <c r="W112" s="55">
        <f>225-27.5-15</f>
        <v>182.5</v>
      </c>
      <c r="X112" s="106">
        <f>223-11</f>
        <v>212</v>
      </c>
      <c r="Y112" s="55">
        <f>252-29-12</f>
        <v>211</v>
      </c>
      <c r="Z112" s="106">
        <f>239-8</f>
        <v>231</v>
      </c>
      <c r="AA112" s="55">
        <f>239-16</f>
        <v>223</v>
      </c>
      <c r="AB112" s="106">
        <f>226-15</f>
        <v>211</v>
      </c>
      <c r="AC112" s="55">
        <f>226-5</f>
        <v>221</v>
      </c>
      <c r="AD112" s="56">
        <f>O112/N112*100</f>
        <v>101.61610415468057</v>
      </c>
      <c r="AE112" s="55"/>
    </row>
    <row r="113" spans="1:31" ht="22.5" customHeight="1">
      <c r="A113" s="58">
        <v>2</v>
      </c>
      <c r="B113" s="53" t="s">
        <v>107</v>
      </c>
      <c r="C113" s="54" t="s">
        <v>1</v>
      </c>
      <c r="D113" s="55">
        <v>1244</v>
      </c>
      <c r="E113" s="56">
        <f>E114+E118</f>
        <v>1574.8700000000001</v>
      </c>
      <c r="F113" s="56">
        <f>F114+F118</f>
        <v>1580.19</v>
      </c>
      <c r="G113" s="55">
        <f t="shared" ref="G113:M113" si="308">G114+G118</f>
        <v>159.1</v>
      </c>
      <c r="H113" s="55">
        <f t="shared" si="308"/>
        <v>133.70000000000002</v>
      </c>
      <c r="I113" s="55">
        <f t="shared" si="308"/>
        <v>332.05</v>
      </c>
      <c r="J113" s="55">
        <f t="shared" si="308"/>
        <v>252.52000000000004</v>
      </c>
      <c r="K113" s="55">
        <f t="shared" si="308"/>
        <v>167.64</v>
      </c>
      <c r="L113" s="55">
        <f t="shared" si="308"/>
        <v>235.70000000000002</v>
      </c>
      <c r="M113" s="55">
        <f t="shared" si="308"/>
        <v>109.00000000000001</v>
      </c>
      <c r="N113" s="158">
        <f>N114+N118</f>
        <v>1820.1900000000003</v>
      </c>
      <c r="O113" s="56">
        <f>O114+O118</f>
        <v>1580.1900000000003</v>
      </c>
      <c r="P113" s="57"/>
      <c r="Q113" s="55">
        <f t="shared" ref="Q113" si="309">Q114+Q118</f>
        <v>159.1</v>
      </c>
      <c r="R113" s="57"/>
      <c r="S113" s="55">
        <f t="shared" ref="S113" si="310">S114+S118</f>
        <v>133.70000000000002</v>
      </c>
      <c r="T113" s="57"/>
      <c r="U113" s="55">
        <f t="shared" ref="U113" si="311">U114+U118</f>
        <v>332.05</v>
      </c>
      <c r="V113" s="57"/>
      <c r="W113" s="55">
        <f t="shared" ref="W113" si="312">W114+W118</f>
        <v>252.52000000000004</v>
      </c>
      <c r="X113" s="57"/>
      <c r="Y113" s="55">
        <f t="shared" ref="Y113" si="313">Y114+Y118</f>
        <v>167.64</v>
      </c>
      <c r="Z113" s="57"/>
      <c r="AA113" s="55">
        <f t="shared" ref="AA113" si="314">AA114+AA118</f>
        <v>235.70000000000002</v>
      </c>
      <c r="AB113" s="57"/>
      <c r="AC113" s="55">
        <f t="shared" ref="AC113" si="315">AC114+AC118</f>
        <v>109.00000000000001</v>
      </c>
      <c r="AD113" s="56">
        <f>O113/N113*100</f>
        <v>86.814563314818784</v>
      </c>
      <c r="AE113" s="55"/>
    </row>
    <row r="114" spans="1:31" ht="22.5" customHeight="1">
      <c r="A114" s="58" t="s">
        <v>33</v>
      </c>
      <c r="B114" s="53" t="s">
        <v>104</v>
      </c>
      <c r="C114" s="54" t="s">
        <v>1</v>
      </c>
      <c r="D114" s="55">
        <v>807</v>
      </c>
      <c r="E114" s="63">
        <f>E115+E116+E117</f>
        <v>1243.8700000000001</v>
      </c>
      <c r="F114" s="56">
        <f>F115+F116+F117</f>
        <v>1243.9100000000001</v>
      </c>
      <c r="G114" s="55">
        <f>G115+G116+G117</f>
        <v>126.3</v>
      </c>
      <c r="H114" s="55">
        <f t="shared" ref="H114:M114" si="316">H115+H116+H117</f>
        <v>109.52000000000001</v>
      </c>
      <c r="I114" s="55">
        <f t="shared" si="316"/>
        <v>272.45</v>
      </c>
      <c r="J114" s="55">
        <f t="shared" si="316"/>
        <v>212.35000000000002</v>
      </c>
      <c r="K114" s="55">
        <f t="shared" si="316"/>
        <v>134.34</v>
      </c>
      <c r="L114" s="55">
        <f t="shared" si="316"/>
        <v>164.67000000000002</v>
      </c>
      <c r="M114" s="55">
        <f t="shared" si="316"/>
        <v>78.800000000000011</v>
      </c>
      <c r="N114" s="162">
        <f>N115+N116+N117</f>
        <v>1580.1900000000003</v>
      </c>
      <c r="O114" s="56">
        <f>O115+O116+O117</f>
        <v>1580.1900000000003</v>
      </c>
      <c r="P114" s="107">
        <f t="shared" ref="P114:AC114" si="317">P115+P116+P117</f>
        <v>159.1</v>
      </c>
      <c r="Q114" s="107">
        <f t="shared" si="317"/>
        <v>159.1</v>
      </c>
      <c r="R114" s="107">
        <f t="shared" si="317"/>
        <v>133.70000000000002</v>
      </c>
      <c r="S114" s="107">
        <f t="shared" si="317"/>
        <v>133.70000000000002</v>
      </c>
      <c r="T114" s="107">
        <f t="shared" si="317"/>
        <v>332.05</v>
      </c>
      <c r="U114" s="107">
        <f t="shared" si="317"/>
        <v>332.05</v>
      </c>
      <c r="V114" s="107">
        <f t="shared" si="317"/>
        <v>252.52000000000004</v>
      </c>
      <c r="W114" s="107">
        <f t="shared" si="317"/>
        <v>252.52000000000004</v>
      </c>
      <c r="X114" s="107">
        <f t="shared" si="317"/>
        <v>167.64</v>
      </c>
      <c r="Y114" s="107">
        <f t="shared" si="317"/>
        <v>167.64</v>
      </c>
      <c r="Z114" s="107">
        <f t="shared" si="317"/>
        <v>235.70000000000002</v>
      </c>
      <c r="AA114" s="107">
        <f t="shared" si="317"/>
        <v>235.70000000000002</v>
      </c>
      <c r="AB114" s="107">
        <f t="shared" si="317"/>
        <v>109.00000000000001</v>
      </c>
      <c r="AC114" s="107">
        <f t="shared" si="317"/>
        <v>109.00000000000001</v>
      </c>
      <c r="AD114" s="56">
        <f>O114/N114*100</f>
        <v>100</v>
      </c>
      <c r="AE114" s="55"/>
    </row>
    <row r="115" spans="1:31" ht="22.5" customHeight="1">
      <c r="A115" s="58" t="s">
        <v>3</v>
      </c>
      <c r="B115" s="61" t="s">
        <v>111</v>
      </c>
      <c r="C115" s="59" t="s">
        <v>1</v>
      </c>
      <c r="D115" s="68">
        <v>697.9</v>
      </c>
      <c r="E115" s="63">
        <v>1098.43</v>
      </c>
      <c r="F115" s="63">
        <f>G115+H115+I115+J115+K115+L115+M115</f>
        <v>1098.43</v>
      </c>
      <c r="G115" s="68">
        <f>73.1+53.2</f>
        <v>126.3</v>
      </c>
      <c r="H115" s="68">
        <f>73.9+35.62</f>
        <v>109.52000000000001</v>
      </c>
      <c r="I115" s="97">
        <f>184.4+88.05</f>
        <v>272.45</v>
      </c>
      <c r="J115" s="97">
        <f>143.8+68.55</f>
        <v>212.35000000000002</v>
      </c>
      <c r="K115" s="68">
        <f>84.4+49.94</f>
        <v>134.34</v>
      </c>
      <c r="L115" s="68">
        <f>108.2+56.47</f>
        <v>164.67000000000002</v>
      </c>
      <c r="M115" s="97">
        <f>30.1+48.7</f>
        <v>78.800000000000011</v>
      </c>
      <c r="N115" s="162">
        <f t="shared" ref="N115:N119" si="318">P115+R115+T115+V115+X115+Z115+AB115</f>
        <v>1389.7100000000003</v>
      </c>
      <c r="O115" s="63">
        <f>Q115+S115+U115+W115+Y115+AA115+AC115</f>
        <v>1389.7100000000003</v>
      </c>
      <c r="P115" s="68">
        <f>73.1+53.2+32.8</f>
        <v>159.1</v>
      </c>
      <c r="Q115" s="68">
        <f>73.1+53.2+32.8</f>
        <v>159.1</v>
      </c>
      <c r="R115" s="68">
        <f>73.9+35.62+24.18</f>
        <v>133.70000000000002</v>
      </c>
      <c r="S115" s="68">
        <f>73.9+35.62+24.18</f>
        <v>133.70000000000002</v>
      </c>
      <c r="T115" s="97">
        <f>184.4+88.05+59.6</f>
        <v>332.05</v>
      </c>
      <c r="U115" s="97">
        <f>184.4+88.05+59.6</f>
        <v>332.05</v>
      </c>
      <c r="V115" s="97">
        <f>143.8+68.55+40.17</f>
        <v>252.52000000000004</v>
      </c>
      <c r="W115" s="97">
        <f>143.8+68.55+40.17</f>
        <v>252.52000000000004</v>
      </c>
      <c r="X115" s="68">
        <f>84.4+49.94+33.3</f>
        <v>167.64</v>
      </c>
      <c r="Y115" s="68">
        <f>84.4+49.94+33.3</f>
        <v>167.64</v>
      </c>
      <c r="Z115" s="68">
        <f>108.2+56.47+71.03</f>
        <v>235.70000000000002</v>
      </c>
      <c r="AA115" s="68">
        <f>108.2+56.47+71.03</f>
        <v>235.70000000000002</v>
      </c>
      <c r="AB115" s="97">
        <f>30.1+48.7+30.2</f>
        <v>109.00000000000001</v>
      </c>
      <c r="AC115" s="97">
        <f>30.1+48.7+30.2</f>
        <v>109.00000000000001</v>
      </c>
      <c r="AD115" s="97"/>
      <c r="AE115" s="97"/>
    </row>
    <row r="116" spans="1:31" ht="22.5" customHeight="1">
      <c r="A116" s="58" t="s">
        <v>3</v>
      </c>
      <c r="B116" s="79" t="s">
        <v>123</v>
      </c>
      <c r="C116" s="59" t="s">
        <v>1</v>
      </c>
      <c r="D116" s="68">
        <v>72.94</v>
      </c>
      <c r="E116" s="63">
        <f>72.94+15</f>
        <v>87.94</v>
      </c>
      <c r="F116" s="63">
        <f>72.94+15</f>
        <v>87.94</v>
      </c>
      <c r="G116" s="55"/>
      <c r="H116" s="55"/>
      <c r="I116" s="55"/>
      <c r="J116" s="55"/>
      <c r="K116" s="55"/>
      <c r="L116" s="55"/>
      <c r="M116" s="55"/>
      <c r="N116" s="159">
        <f>72.94+15+15</f>
        <v>102.94</v>
      </c>
      <c r="O116" s="63">
        <f>72.94+15+15</f>
        <v>102.94</v>
      </c>
      <c r="P116" s="65"/>
      <c r="Q116" s="55"/>
      <c r="R116" s="65"/>
      <c r="S116" s="55"/>
      <c r="T116" s="65"/>
      <c r="U116" s="55"/>
      <c r="V116" s="65"/>
      <c r="W116" s="55"/>
      <c r="X116" s="65"/>
      <c r="Y116" s="55"/>
      <c r="Z116" s="65"/>
      <c r="AA116" s="55"/>
      <c r="AB116" s="65"/>
      <c r="AC116" s="55"/>
      <c r="AD116" s="68"/>
      <c r="AE116" s="55"/>
    </row>
    <row r="117" spans="1:31" ht="22.5" customHeight="1">
      <c r="A117" s="58" t="s">
        <v>3</v>
      </c>
      <c r="B117" s="79" t="s">
        <v>117</v>
      </c>
      <c r="C117" s="59" t="s">
        <v>1</v>
      </c>
      <c r="D117" s="68">
        <v>36</v>
      </c>
      <c r="E117" s="63">
        <f>36+21.5</f>
        <v>57.5</v>
      </c>
      <c r="F117" s="63">
        <f>36+21.54</f>
        <v>57.54</v>
      </c>
      <c r="G117" s="55"/>
      <c r="H117" s="55"/>
      <c r="I117" s="55"/>
      <c r="J117" s="55"/>
      <c r="K117" s="55"/>
      <c r="L117" s="55"/>
      <c r="M117" s="55"/>
      <c r="N117" s="159">
        <f>36+21.54+30</f>
        <v>87.539999999999992</v>
      </c>
      <c r="O117" s="63">
        <f>36+21.54+30</f>
        <v>87.539999999999992</v>
      </c>
      <c r="P117" s="65"/>
      <c r="Q117" s="55"/>
      <c r="R117" s="65"/>
      <c r="S117" s="55"/>
      <c r="T117" s="65"/>
      <c r="U117" s="55"/>
      <c r="V117" s="65"/>
      <c r="W117" s="55"/>
      <c r="X117" s="65"/>
      <c r="Y117" s="55"/>
      <c r="Z117" s="65"/>
      <c r="AA117" s="55"/>
      <c r="AB117" s="65"/>
      <c r="AC117" s="55"/>
      <c r="AD117" s="68"/>
      <c r="AE117" s="55"/>
    </row>
    <row r="118" spans="1:31" ht="22.5" customHeight="1">
      <c r="A118" s="58" t="s">
        <v>15</v>
      </c>
      <c r="B118" s="53" t="s">
        <v>129</v>
      </c>
      <c r="C118" s="54" t="s">
        <v>1</v>
      </c>
      <c r="D118" s="55">
        <v>437.1</v>
      </c>
      <c r="E118" s="56">
        <f>E119+E120+E121</f>
        <v>331</v>
      </c>
      <c r="F118" s="56">
        <f>F119+F120+F121</f>
        <v>336.28000000000003</v>
      </c>
      <c r="G118" s="55">
        <f t="shared" ref="G118:M118" si="319">G119+G120+G121</f>
        <v>32.799999999999997</v>
      </c>
      <c r="H118" s="55">
        <f t="shared" si="319"/>
        <v>24.18</v>
      </c>
      <c r="I118" s="55">
        <f t="shared" si="319"/>
        <v>59.6</v>
      </c>
      <c r="J118" s="55">
        <f t="shared" si="319"/>
        <v>40.17</v>
      </c>
      <c r="K118" s="55">
        <f t="shared" si="319"/>
        <v>33.299999999999997</v>
      </c>
      <c r="L118" s="55">
        <f t="shared" si="319"/>
        <v>71.03</v>
      </c>
      <c r="M118" s="55">
        <f t="shared" si="319"/>
        <v>30.2</v>
      </c>
      <c r="N118" s="158">
        <f>N119+N120+N121</f>
        <v>240</v>
      </c>
      <c r="O118" s="56">
        <f>O119+O120+O121</f>
        <v>0</v>
      </c>
      <c r="P118" s="57">
        <f>P119+P120+P121</f>
        <v>75</v>
      </c>
      <c r="Q118" s="56">
        <f t="shared" ref="Q118:AC118" si="320">Q119+Q120+Q121</f>
        <v>0</v>
      </c>
      <c r="R118" s="57">
        <f t="shared" si="320"/>
        <v>28</v>
      </c>
      <c r="S118" s="56">
        <f t="shared" si="320"/>
        <v>0</v>
      </c>
      <c r="T118" s="57">
        <f t="shared" si="320"/>
        <v>30</v>
      </c>
      <c r="U118" s="56">
        <f t="shared" si="320"/>
        <v>0</v>
      </c>
      <c r="V118" s="57">
        <f t="shared" si="320"/>
        <v>35</v>
      </c>
      <c r="W118" s="56">
        <f t="shared" si="320"/>
        <v>0</v>
      </c>
      <c r="X118" s="57">
        <f t="shared" si="320"/>
        <v>32</v>
      </c>
      <c r="Y118" s="56">
        <f t="shared" si="320"/>
        <v>0</v>
      </c>
      <c r="Z118" s="57">
        <f t="shared" si="320"/>
        <v>15</v>
      </c>
      <c r="AA118" s="56">
        <f t="shared" si="320"/>
        <v>0</v>
      </c>
      <c r="AB118" s="57">
        <f t="shared" si="320"/>
        <v>25</v>
      </c>
      <c r="AC118" s="56">
        <f t="shared" si="320"/>
        <v>0</v>
      </c>
      <c r="AD118" s="56">
        <f>O118/N118*100</f>
        <v>0</v>
      </c>
      <c r="AE118" s="55"/>
    </row>
    <row r="119" spans="1:31" ht="22.5" customHeight="1">
      <c r="A119" s="58" t="s">
        <v>3</v>
      </c>
      <c r="B119" s="61" t="s">
        <v>111</v>
      </c>
      <c r="C119" s="59" t="s">
        <v>1</v>
      </c>
      <c r="D119" s="68">
        <v>400.53</v>
      </c>
      <c r="E119" s="63">
        <v>286</v>
      </c>
      <c r="F119" s="63">
        <f>G119+H119+I119+J119+K119+L119+M119</f>
        <v>291.28000000000003</v>
      </c>
      <c r="G119" s="68">
        <v>32.799999999999997</v>
      </c>
      <c r="H119" s="68">
        <v>24.18</v>
      </c>
      <c r="I119" s="68">
        <v>59.6</v>
      </c>
      <c r="J119" s="68">
        <v>40.17</v>
      </c>
      <c r="K119" s="68">
        <v>33.299999999999997</v>
      </c>
      <c r="L119" s="68">
        <v>71.03</v>
      </c>
      <c r="M119" s="68">
        <v>30.2</v>
      </c>
      <c r="N119" s="162">
        <f t="shared" si="318"/>
        <v>190</v>
      </c>
      <c r="O119" s="63"/>
      <c r="P119" s="65">
        <v>25</v>
      </c>
      <c r="Q119" s="68">
        <v>0</v>
      </c>
      <c r="R119" s="65">
        <v>28</v>
      </c>
      <c r="S119" s="68">
        <v>0</v>
      </c>
      <c r="T119" s="65">
        <v>30</v>
      </c>
      <c r="U119" s="68"/>
      <c r="V119" s="65">
        <v>35</v>
      </c>
      <c r="W119" s="68">
        <v>0</v>
      </c>
      <c r="X119" s="65">
        <v>32</v>
      </c>
      <c r="Y119" s="68">
        <v>0</v>
      </c>
      <c r="Z119" s="65">
        <v>15</v>
      </c>
      <c r="AA119" s="68">
        <v>0</v>
      </c>
      <c r="AB119" s="65">
        <v>25</v>
      </c>
      <c r="AC119" s="68">
        <v>0</v>
      </c>
      <c r="AD119" s="68"/>
      <c r="AE119" s="68"/>
    </row>
    <row r="120" spans="1:31" ht="22.5" customHeight="1">
      <c r="A120" s="58" t="s">
        <v>3</v>
      </c>
      <c r="B120" s="79" t="s">
        <v>123</v>
      </c>
      <c r="C120" s="59" t="s">
        <v>1</v>
      </c>
      <c r="D120" s="68">
        <v>15</v>
      </c>
      <c r="E120" s="63">
        <v>15</v>
      </c>
      <c r="F120" s="63">
        <v>15</v>
      </c>
      <c r="G120" s="55"/>
      <c r="H120" s="55"/>
      <c r="I120" s="55"/>
      <c r="J120" s="55"/>
      <c r="K120" s="55"/>
      <c r="L120" s="55"/>
      <c r="M120" s="55"/>
      <c r="N120" s="162">
        <v>20</v>
      </c>
      <c r="O120" s="63"/>
      <c r="P120" s="65">
        <v>20</v>
      </c>
      <c r="Q120" s="55"/>
      <c r="R120" s="65"/>
      <c r="S120" s="55"/>
      <c r="T120" s="65"/>
      <c r="U120" s="55"/>
      <c r="V120" s="65"/>
      <c r="W120" s="55"/>
      <c r="X120" s="65"/>
      <c r="Y120" s="55"/>
      <c r="Z120" s="65"/>
      <c r="AA120" s="55"/>
      <c r="AB120" s="65"/>
      <c r="AC120" s="55"/>
      <c r="AD120" s="68"/>
      <c r="AE120" s="55"/>
    </row>
    <row r="121" spans="1:31" ht="22.5" customHeight="1">
      <c r="A121" s="58" t="s">
        <v>3</v>
      </c>
      <c r="B121" s="79" t="s">
        <v>117</v>
      </c>
      <c r="C121" s="59" t="s">
        <v>1</v>
      </c>
      <c r="D121" s="68">
        <v>21.54</v>
      </c>
      <c r="E121" s="63">
        <v>30</v>
      </c>
      <c r="F121" s="63">
        <v>30</v>
      </c>
      <c r="G121" s="55"/>
      <c r="H121" s="55"/>
      <c r="I121" s="55"/>
      <c r="J121" s="55"/>
      <c r="K121" s="55"/>
      <c r="L121" s="55"/>
      <c r="M121" s="55"/>
      <c r="N121" s="162">
        <v>30</v>
      </c>
      <c r="O121" s="63"/>
      <c r="P121" s="65">
        <v>30</v>
      </c>
      <c r="Q121" s="55"/>
      <c r="R121" s="65"/>
      <c r="S121" s="55"/>
      <c r="T121" s="65"/>
      <c r="U121" s="55"/>
      <c r="V121" s="65"/>
      <c r="W121" s="55"/>
      <c r="X121" s="65"/>
      <c r="Y121" s="55"/>
      <c r="Z121" s="65"/>
      <c r="AA121" s="55"/>
      <c r="AB121" s="65"/>
      <c r="AC121" s="55"/>
      <c r="AD121" s="68"/>
      <c r="AE121" s="55"/>
    </row>
    <row r="122" spans="1:31" s="12" customFormat="1" ht="22.5" hidden="1" customHeight="1">
      <c r="A122" s="58" t="s">
        <v>112</v>
      </c>
      <c r="B122" s="53" t="s">
        <v>108</v>
      </c>
      <c r="C122" s="54" t="s">
        <v>109</v>
      </c>
      <c r="D122" s="108">
        <v>64000</v>
      </c>
      <c r="E122" s="109">
        <f>E123+E124+E125</f>
        <v>58000</v>
      </c>
      <c r="F122" s="109">
        <f>F123+F124+F125</f>
        <v>58100</v>
      </c>
      <c r="G122" s="110">
        <f t="shared" ref="G122:M122" si="321">SUM(G123:G125)</f>
        <v>8100</v>
      </c>
      <c r="H122" s="110">
        <f t="shared" si="321"/>
        <v>6000</v>
      </c>
      <c r="I122" s="110">
        <f t="shared" si="321"/>
        <v>5500</v>
      </c>
      <c r="J122" s="110">
        <f t="shared" si="321"/>
        <v>8000</v>
      </c>
      <c r="K122" s="110">
        <f t="shared" si="321"/>
        <v>6500</v>
      </c>
      <c r="L122" s="110">
        <f t="shared" si="321"/>
        <v>12000</v>
      </c>
      <c r="M122" s="110">
        <f t="shared" si="321"/>
        <v>7000</v>
      </c>
      <c r="N122" s="168"/>
      <c r="O122" s="109">
        <f>O123+O124+O125</f>
        <v>58100</v>
      </c>
      <c r="P122" s="109"/>
      <c r="Q122" s="110">
        <f t="shared" ref="Q122" si="322">SUM(Q123:Q125)</f>
        <v>8100</v>
      </c>
      <c r="R122" s="110"/>
      <c r="S122" s="110">
        <f t="shared" ref="S122" si="323">SUM(S123:S125)</f>
        <v>6000</v>
      </c>
      <c r="T122" s="110"/>
      <c r="U122" s="110">
        <f t="shared" ref="U122" si="324">SUM(U123:U125)</f>
        <v>5500</v>
      </c>
      <c r="V122" s="110"/>
      <c r="W122" s="110">
        <f t="shared" ref="W122" si="325">SUM(W123:W125)</f>
        <v>8000</v>
      </c>
      <c r="X122" s="110"/>
      <c r="Y122" s="110">
        <f t="shared" ref="Y122" si="326">SUM(Y123:Y125)</f>
        <v>6500</v>
      </c>
      <c r="Z122" s="110"/>
      <c r="AA122" s="110">
        <f t="shared" ref="AA122" si="327">SUM(AA123:AA125)</f>
        <v>12000</v>
      </c>
      <c r="AB122" s="110"/>
      <c r="AC122" s="110">
        <f t="shared" ref="AC122" si="328">SUM(AC123:AC125)</f>
        <v>7000</v>
      </c>
      <c r="AD122" s="62"/>
      <c r="AE122" s="110"/>
    </row>
    <row r="123" spans="1:31" s="15" customFormat="1" ht="22.5" hidden="1" customHeight="1">
      <c r="A123" s="82" t="s">
        <v>34</v>
      </c>
      <c r="B123" s="61" t="s">
        <v>111</v>
      </c>
      <c r="C123" s="59" t="s">
        <v>109</v>
      </c>
      <c r="D123" s="111">
        <v>55000</v>
      </c>
      <c r="E123" s="72">
        <v>50000</v>
      </c>
      <c r="F123" s="72">
        <f>G123+H123+I123+J123+K123+L123+M123</f>
        <v>50100</v>
      </c>
      <c r="G123" s="62">
        <v>7100</v>
      </c>
      <c r="H123" s="62">
        <v>6000</v>
      </c>
      <c r="I123" s="62">
        <v>5500</v>
      </c>
      <c r="J123" s="62">
        <v>8000</v>
      </c>
      <c r="K123" s="62">
        <v>6500</v>
      </c>
      <c r="L123" s="62">
        <v>10000</v>
      </c>
      <c r="M123" s="62">
        <f>3700+3300</f>
        <v>7000</v>
      </c>
      <c r="N123" s="161"/>
      <c r="O123" s="72">
        <f>Q123+S123+U123+W123+Y123+AA123+AC123</f>
        <v>50100</v>
      </c>
      <c r="P123" s="72"/>
      <c r="Q123" s="62">
        <v>7100</v>
      </c>
      <c r="R123" s="62"/>
      <c r="S123" s="62">
        <v>6000</v>
      </c>
      <c r="T123" s="62"/>
      <c r="U123" s="62">
        <v>5500</v>
      </c>
      <c r="V123" s="62"/>
      <c r="W123" s="62">
        <v>8000</v>
      </c>
      <c r="X123" s="62"/>
      <c r="Y123" s="62">
        <v>6500</v>
      </c>
      <c r="Z123" s="62"/>
      <c r="AA123" s="62">
        <v>10000</v>
      </c>
      <c r="AB123" s="62"/>
      <c r="AC123" s="62">
        <f>3700+3300</f>
        <v>7000</v>
      </c>
      <c r="AD123" s="62"/>
      <c r="AE123" s="62"/>
    </row>
    <row r="124" spans="1:31" ht="22.5" hidden="1" customHeight="1">
      <c r="A124" s="81" t="s">
        <v>3</v>
      </c>
      <c r="B124" s="61" t="s">
        <v>119</v>
      </c>
      <c r="C124" s="59" t="s">
        <v>109</v>
      </c>
      <c r="D124" s="83">
        <v>5000</v>
      </c>
      <c r="E124" s="63">
        <v>5000</v>
      </c>
      <c r="F124" s="63">
        <v>5000</v>
      </c>
      <c r="G124" s="68"/>
      <c r="H124" s="68"/>
      <c r="I124" s="68"/>
      <c r="J124" s="68"/>
      <c r="K124" s="68"/>
      <c r="L124" s="68"/>
      <c r="M124" s="68"/>
      <c r="N124" s="162"/>
      <c r="O124" s="63">
        <v>5000</v>
      </c>
      <c r="P124" s="63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</row>
    <row r="125" spans="1:31" ht="22.5" hidden="1" customHeight="1">
      <c r="A125" s="81" t="s">
        <v>3</v>
      </c>
      <c r="B125" s="61" t="s">
        <v>110</v>
      </c>
      <c r="C125" s="59" t="s">
        <v>109</v>
      </c>
      <c r="D125" s="83">
        <v>4000</v>
      </c>
      <c r="E125" s="63">
        <v>3000</v>
      </c>
      <c r="F125" s="72">
        <f>G125+H125+I125+J125+K125+L125+M125</f>
        <v>3000</v>
      </c>
      <c r="G125" s="68">
        <v>1000</v>
      </c>
      <c r="H125" s="68"/>
      <c r="I125" s="68"/>
      <c r="J125" s="68"/>
      <c r="K125" s="68"/>
      <c r="L125" s="68">
        <v>2000</v>
      </c>
      <c r="M125" s="68"/>
      <c r="N125" s="162"/>
      <c r="O125" s="72">
        <f>Q125+S125+U125+W125+Y125+AA125+AC125</f>
        <v>3000</v>
      </c>
      <c r="P125" s="72"/>
      <c r="Q125" s="68">
        <v>1000</v>
      </c>
      <c r="R125" s="68"/>
      <c r="S125" s="68"/>
      <c r="T125" s="68"/>
      <c r="U125" s="68"/>
      <c r="V125" s="68"/>
      <c r="W125" s="68"/>
      <c r="X125" s="68"/>
      <c r="Y125" s="68"/>
      <c r="Z125" s="68"/>
      <c r="AA125" s="68">
        <v>2000</v>
      </c>
      <c r="AB125" s="68"/>
      <c r="AC125" s="68"/>
      <c r="AD125" s="68"/>
      <c r="AE125" s="68"/>
    </row>
    <row r="126" spans="1:31" s="12" customFormat="1" ht="22.5" hidden="1" customHeight="1">
      <c r="A126" s="58" t="s">
        <v>113</v>
      </c>
      <c r="B126" s="53" t="s">
        <v>122</v>
      </c>
      <c r="C126" s="54" t="s">
        <v>1</v>
      </c>
      <c r="D126" s="55">
        <v>532</v>
      </c>
      <c r="E126" s="56">
        <v>0</v>
      </c>
      <c r="F126" s="56">
        <v>0</v>
      </c>
      <c r="G126" s="55">
        <f>G127+G128</f>
        <v>0</v>
      </c>
      <c r="H126" s="55">
        <f t="shared" ref="H126:M126" si="329">H127+H128</f>
        <v>0</v>
      </c>
      <c r="I126" s="55">
        <f t="shared" si="329"/>
        <v>0</v>
      </c>
      <c r="J126" s="55">
        <f t="shared" si="329"/>
        <v>0</v>
      </c>
      <c r="K126" s="55">
        <f t="shared" si="329"/>
        <v>0</v>
      </c>
      <c r="L126" s="55">
        <f t="shared" si="329"/>
        <v>0</v>
      </c>
      <c r="M126" s="55">
        <f t="shared" si="329"/>
        <v>0</v>
      </c>
      <c r="N126" s="158"/>
      <c r="O126" s="56">
        <v>0</v>
      </c>
      <c r="P126" s="56"/>
      <c r="Q126" s="55">
        <f>Q127+Q128</f>
        <v>0</v>
      </c>
      <c r="R126" s="55"/>
      <c r="S126" s="55">
        <f t="shared" ref="S126" si="330">S127+S128</f>
        <v>0</v>
      </c>
      <c r="T126" s="55"/>
      <c r="U126" s="55">
        <f t="shared" ref="U126" si="331">U127+U128</f>
        <v>0</v>
      </c>
      <c r="V126" s="55"/>
      <c r="W126" s="55">
        <f t="shared" ref="W126" si="332">W127+W128</f>
        <v>0</v>
      </c>
      <c r="X126" s="55"/>
      <c r="Y126" s="55">
        <f t="shared" ref="Y126" si="333">Y127+Y128</f>
        <v>0</v>
      </c>
      <c r="Z126" s="55"/>
      <c r="AA126" s="55">
        <f t="shared" ref="AA126" si="334">AA127+AA128</f>
        <v>0</v>
      </c>
      <c r="AB126" s="55"/>
      <c r="AC126" s="55">
        <f t="shared" ref="AC126" si="335">AC127+AC128</f>
        <v>0</v>
      </c>
      <c r="AD126" s="68"/>
      <c r="AE126" s="55"/>
    </row>
    <row r="127" spans="1:31" ht="22.5" hidden="1" customHeight="1">
      <c r="A127" s="98" t="s">
        <v>116</v>
      </c>
      <c r="B127" s="61" t="s">
        <v>111</v>
      </c>
      <c r="C127" s="59" t="s">
        <v>1</v>
      </c>
      <c r="D127" s="68">
        <v>332</v>
      </c>
      <c r="E127" s="63"/>
      <c r="F127" s="63"/>
      <c r="G127" s="68"/>
      <c r="H127" s="68"/>
      <c r="I127" s="68"/>
      <c r="J127" s="68"/>
      <c r="K127" s="68"/>
      <c r="L127" s="68"/>
      <c r="M127" s="68"/>
      <c r="N127" s="162"/>
      <c r="O127" s="63"/>
      <c r="P127" s="63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</row>
    <row r="128" spans="1:31" ht="22.5" hidden="1" customHeight="1">
      <c r="A128" s="52" t="s">
        <v>3</v>
      </c>
      <c r="B128" s="61" t="s">
        <v>123</v>
      </c>
      <c r="C128" s="59" t="s">
        <v>1</v>
      </c>
      <c r="D128" s="68">
        <v>200</v>
      </c>
      <c r="E128" s="63"/>
      <c r="F128" s="63"/>
      <c r="G128" s="68"/>
      <c r="H128" s="68"/>
      <c r="I128" s="68"/>
      <c r="J128" s="68"/>
      <c r="K128" s="68"/>
      <c r="L128" s="68"/>
      <c r="M128" s="68"/>
      <c r="N128" s="162"/>
      <c r="O128" s="63"/>
      <c r="P128" s="63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</row>
    <row r="129" spans="1:31" ht="22.5" customHeight="1">
      <c r="A129" s="58" t="s">
        <v>114</v>
      </c>
      <c r="B129" s="53" t="s">
        <v>131</v>
      </c>
      <c r="C129" s="54" t="s">
        <v>1</v>
      </c>
      <c r="D129" s="108">
        <v>139</v>
      </c>
      <c r="E129" s="108">
        <f t="shared" ref="E129:H129" si="336">E131+E134+E135</f>
        <v>140</v>
      </c>
      <c r="F129" s="108">
        <f t="shared" si="336"/>
        <v>140.5</v>
      </c>
      <c r="G129" s="108">
        <f t="shared" si="336"/>
        <v>14.9</v>
      </c>
      <c r="H129" s="108">
        <f t="shared" si="336"/>
        <v>20.399999999999999</v>
      </c>
      <c r="I129" s="108">
        <f t="shared" ref="I129:J129" si="337">I131+I134+I135</f>
        <v>5.9</v>
      </c>
      <c r="J129" s="108">
        <f t="shared" si="337"/>
        <v>63.4</v>
      </c>
      <c r="K129" s="108">
        <f>K131+K134+K135</f>
        <v>7.1000000000000005</v>
      </c>
      <c r="L129" s="108">
        <f t="shared" ref="L129:M129" si="338">L131+L134+L135</f>
        <v>8.9</v>
      </c>
      <c r="M129" s="108">
        <f t="shared" si="338"/>
        <v>19.899999999999999</v>
      </c>
      <c r="N129" s="169">
        <f>N136+N137+N138+N140</f>
        <v>140.5</v>
      </c>
      <c r="O129" s="108">
        <f>O136+O137+O138+O140</f>
        <v>94.1</v>
      </c>
      <c r="P129" s="108">
        <f t="shared" ref="P129:AC129" si="339">P136+P137+P138+P140</f>
        <v>14.9</v>
      </c>
      <c r="Q129" s="108">
        <f t="shared" si="339"/>
        <v>8.6999999999999993</v>
      </c>
      <c r="R129" s="108">
        <f t="shared" si="339"/>
        <v>20.399999999999999</v>
      </c>
      <c r="S129" s="108">
        <f t="shared" si="339"/>
        <v>14.3</v>
      </c>
      <c r="T129" s="108">
        <f t="shared" si="339"/>
        <v>5.9</v>
      </c>
      <c r="U129" s="108">
        <f t="shared" si="339"/>
        <v>0.4</v>
      </c>
      <c r="V129" s="108">
        <f t="shared" si="339"/>
        <v>63.4</v>
      </c>
      <c r="W129" s="108">
        <f t="shared" si="339"/>
        <v>53.4</v>
      </c>
      <c r="X129" s="108">
        <f t="shared" si="339"/>
        <v>7.1000000000000005</v>
      </c>
      <c r="Y129" s="108">
        <f t="shared" si="339"/>
        <v>0.4</v>
      </c>
      <c r="Z129" s="108">
        <f t="shared" si="339"/>
        <v>8.9</v>
      </c>
      <c r="AA129" s="108">
        <f t="shared" si="339"/>
        <v>3.5</v>
      </c>
      <c r="AB129" s="108">
        <f t="shared" si="339"/>
        <v>19.899999999999999</v>
      </c>
      <c r="AC129" s="108">
        <f t="shared" si="339"/>
        <v>13.4</v>
      </c>
      <c r="AD129" s="63">
        <f>O129/N129*100</f>
        <v>66.97508896797153</v>
      </c>
      <c r="AE129" s="108"/>
    </row>
    <row r="130" spans="1:31" s="12" customFormat="1" ht="22.5" hidden="1" customHeight="1">
      <c r="A130" s="81"/>
      <c r="B130" s="79" t="s">
        <v>71</v>
      </c>
      <c r="C130" s="82" t="s">
        <v>1</v>
      </c>
      <c r="D130" s="112"/>
      <c r="E130" s="113">
        <f>E134+E133</f>
        <v>47</v>
      </c>
      <c r="F130" s="113">
        <f>F133+F134</f>
        <v>47.5</v>
      </c>
      <c r="G130" s="113">
        <f t="shared" ref="G130:M130" si="340">G134+G133</f>
        <v>6.2</v>
      </c>
      <c r="H130" s="113">
        <f t="shared" si="340"/>
        <v>6.1</v>
      </c>
      <c r="I130" s="113">
        <f t="shared" si="340"/>
        <v>5.5</v>
      </c>
      <c r="J130" s="113">
        <f t="shared" si="340"/>
        <v>10</v>
      </c>
      <c r="K130" s="113">
        <f t="shared" si="340"/>
        <v>6.7</v>
      </c>
      <c r="L130" s="113">
        <f t="shared" si="340"/>
        <v>6.5</v>
      </c>
      <c r="M130" s="113">
        <f t="shared" si="340"/>
        <v>6.5</v>
      </c>
      <c r="N130" s="170"/>
      <c r="O130" s="113">
        <f>O133+O134</f>
        <v>47.5</v>
      </c>
      <c r="P130" s="114"/>
      <c r="Q130" s="113">
        <f t="shared" ref="Q130" si="341">Q134+Q133</f>
        <v>6.2</v>
      </c>
      <c r="R130" s="114"/>
      <c r="S130" s="113">
        <f t="shared" ref="S130" si="342">S134+S133</f>
        <v>6.1</v>
      </c>
      <c r="T130" s="114"/>
      <c r="U130" s="113">
        <f t="shared" ref="U130" si="343">U134+U133</f>
        <v>5.5</v>
      </c>
      <c r="V130" s="114"/>
      <c r="W130" s="113">
        <f t="shared" ref="W130" si="344">W134+W133</f>
        <v>10</v>
      </c>
      <c r="X130" s="114"/>
      <c r="Y130" s="113">
        <f t="shared" ref="Y130" si="345">Y134+Y133</f>
        <v>6.7</v>
      </c>
      <c r="Z130" s="114"/>
      <c r="AA130" s="113">
        <f t="shared" ref="AA130" si="346">AA134+AA133</f>
        <v>6.5</v>
      </c>
      <c r="AB130" s="114"/>
      <c r="AC130" s="113">
        <f t="shared" ref="AC130" si="347">AC134+AC133</f>
        <v>6.5</v>
      </c>
      <c r="AD130" s="113"/>
      <c r="AE130" s="113"/>
    </row>
    <row r="131" spans="1:31" ht="22.5" hidden="1" customHeight="1">
      <c r="A131" s="81">
        <v>1</v>
      </c>
      <c r="B131" s="79" t="s">
        <v>130</v>
      </c>
      <c r="C131" s="82"/>
      <c r="D131" s="112"/>
      <c r="E131" s="112">
        <f t="shared" ref="E131:J131" si="348">E132+E133</f>
        <v>21.5</v>
      </c>
      <c r="F131" s="112">
        <f t="shared" si="348"/>
        <v>19.100000000000001</v>
      </c>
      <c r="G131" s="112">
        <f t="shared" si="348"/>
        <v>3.7</v>
      </c>
      <c r="H131" s="112">
        <f t="shared" si="348"/>
        <v>2.2999999999999998</v>
      </c>
      <c r="I131" s="112">
        <f t="shared" si="348"/>
        <v>0.4</v>
      </c>
      <c r="J131" s="112">
        <f t="shared" si="348"/>
        <v>3.4</v>
      </c>
      <c r="K131" s="112">
        <f t="shared" ref="K131:M131" si="349">K132+K133</f>
        <v>0.4</v>
      </c>
      <c r="L131" s="112">
        <f t="shared" si="349"/>
        <v>3.5</v>
      </c>
      <c r="M131" s="112">
        <f t="shared" si="349"/>
        <v>5.4</v>
      </c>
      <c r="N131" s="171"/>
      <c r="O131" s="112">
        <f t="shared" ref="O131" si="350">O132+O133</f>
        <v>19.100000000000001</v>
      </c>
      <c r="P131" s="115"/>
      <c r="Q131" s="112">
        <f t="shared" ref="Q131" si="351">Q132+Q133</f>
        <v>3.7</v>
      </c>
      <c r="R131" s="115"/>
      <c r="S131" s="112">
        <f t="shared" ref="S131" si="352">S132+S133</f>
        <v>2.2999999999999998</v>
      </c>
      <c r="T131" s="115"/>
      <c r="U131" s="112">
        <f t="shared" ref="U131" si="353">U132+U133</f>
        <v>0.4</v>
      </c>
      <c r="V131" s="115"/>
      <c r="W131" s="112">
        <f t="shared" ref="W131" si="354">W132+W133</f>
        <v>3.4</v>
      </c>
      <c r="X131" s="115"/>
      <c r="Y131" s="112">
        <f t="shared" ref="Y131" si="355">Y132+Y133</f>
        <v>0.4</v>
      </c>
      <c r="Z131" s="115"/>
      <c r="AA131" s="112">
        <f t="shared" ref="AA131" si="356">AA132+AA133</f>
        <v>3.5</v>
      </c>
      <c r="AB131" s="115"/>
      <c r="AC131" s="112">
        <f t="shared" ref="AC131" si="357">AC132+AC133</f>
        <v>5.4</v>
      </c>
      <c r="AD131" s="112"/>
      <c r="AE131" s="112"/>
    </row>
    <row r="132" spans="1:31" ht="22.5" hidden="1" customHeight="1">
      <c r="A132" s="52" t="s">
        <v>3</v>
      </c>
      <c r="B132" s="61" t="s">
        <v>132</v>
      </c>
      <c r="C132" s="59" t="s">
        <v>1</v>
      </c>
      <c r="D132" s="116"/>
      <c r="E132" s="63">
        <v>18</v>
      </c>
      <c r="F132" s="63">
        <f>G132+H132+I132+J132+K132+L132+M132</f>
        <v>18</v>
      </c>
      <c r="G132" s="116">
        <v>3.7</v>
      </c>
      <c r="H132" s="116">
        <v>2.2999999999999998</v>
      </c>
      <c r="I132" s="116">
        <v>0.4</v>
      </c>
      <c r="J132" s="116">
        <v>3.4</v>
      </c>
      <c r="K132" s="116">
        <v>0.4</v>
      </c>
      <c r="L132" s="116">
        <v>2.4</v>
      </c>
      <c r="M132" s="116">
        <v>5.4</v>
      </c>
      <c r="N132" s="172"/>
      <c r="O132" s="63">
        <f>Q132+S132+U132+W132+Y132+AA132+AC132</f>
        <v>18</v>
      </c>
      <c r="P132" s="65"/>
      <c r="Q132" s="116">
        <v>3.7</v>
      </c>
      <c r="R132" s="65"/>
      <c r="S132" s="116">
        <v>2.2999999999999998</v>
      </c>
      <c r="T132" s="65"/>
      <c r="U132" s="116">
        <v>0.4</v>
      </c>
      <c r="V132" s="65"/>
      <c r="W132" s="116">
        <v>3.4</v>
      </c>
      <c r="X132" s="65"/>
      <c r="Y132" s="116">
        <v>0.4</v>
      </c>
      <c r="Z132" s="65"/>
      <c r="AA132" s="116">
        <v>2.4</v>
      </c>
      <c r="AB132" s="65"/>
      <c r="AC132" s="116">
        <v>5.4</v>
      </c>
      <c r="AD132" s="116"/>
      <c r="AE132" s="116"/>
    </row>
    <row r="133" spans="1:31" ht="22.5" hidden="1" customHeight="1">
      <c r="A133" s="52" t="s">
        <v>3</v>
      </c>
      <c r="B133" s="61" t="s">
        <v>133</v>
      </c>
      <c r="C133" s="59"/>
      <c r="D133" s="116"/>
      <c r="E133" s="63">
        <v>3.5</v>
      </c>
      <c r="F133" s="63">
        <f>G133+H133+I133+J133+K133+L133+M133</f>
        <v>1.1000000000000001</v>
      </c>
      <c r="G133" s="116">
        <v>0</v>
      </c>
      <c r="H133" s="116">
        <v>0</v>
      </c>
      <c r="I133" s="116">
        <v>0</v>
      </c>
      <c r="J133" s="116">
        <v>0</v>
      </c>
      <c r="K133" s="116">
        <v>0</v>
      </c>
      <c r="L133" s="116">
        <v>1.1000000000000001</v>
      </c>
      <c r="M133" s="116">
        <v>0</v>
      </c>
      <c r="N133" s="172"/>
      <c r="O133" s="63">
        <f>Q133+S133+U133+W133+Y133+AA133+AC133</f>
        <v>1.1000000000000001</v>
      </c>
      <c r="P133" s="65"/>
      <c r="Q133" s="116">
        <v>0</v>
      </c>
      <c r="R133" s="65"/>
      <c r="S133" s="116">
        <v>0</v>
      </c>
      <c r="T133" s="65"/>
      <c r="U133" s="116">
        <v>0</v>
      </c>
      <c r="V133" s="65"/>
      <c r="W133" s="116">
        <v>0</v>
      </c>
      <c r="X133" s="65"/>
      <c r="Y133" s="116">
        <v>0</v>
      </c>
      <c r="Z133" s="65"/>
      <c r="AA133" s="116">
        <v>1.1000000000000001</v>
      </c>
      <c r="AB133" s="65"/>
      <c r="AC133" s="116">
        <v>0</v>
      </c>
      <c r="AD133" s="116"/>
      <c r="AE133" s="116"/>
    </row>
    <row r="134" spans="1:31" ht="22.5" hidden="1" customHeight="1">
      <c r="A134" s="81">
        <v>2</v>
      </c>
      <c r="B134" s="79" t="s">
        <v>137</v>
      </c>
      <c r="C134" s="82" t="s">
        <v>1</v>
      </c>
      <c r="D134" s="112"/>
      <c r="E134" s="113">
        <v>43.5</v>
      </c>
      <c r="F134" s="63">
        <f>G134+H134+I134+J134+K134+L134+M134</f>
        <v>46.4</v>
      </c>
      <c r="G134" s="112">
        <v>6.2</v>
      </c>
      <c r="H134" s="112">
        <v>6.1</v>
      </c>
      <c r="I134" s="112">
        <v>5.5</v>
      </c>
      <c r="J134" s="112">
        <v>10</v>
      </c>
      <c r="K134" s="112">
        <v>6.7</v>
      </c>
      <c r="L134" s="112">
        <v>5.4</v>
      </c>
      <c r="M134" s="112">
        <v>6.5</v>
      </c>
      <c r="N134" s="171"/>
      <c r="O134" s="63">
        <f>Q134+S134+U134+W134+Y134+AA134+AC134</f>
        <v>46.4</v>
      </c>
      <c r="P134" s="65"/>
      <c r="Q134" s="112">
        <v>6.2</v>
      </c>
      <c r="R134" s="65"/>
      <c r="S134" s="112">
        <v>6.1</v>
      </c>
      <c r="T134" s="65"/>
      <c r="U134" s="112">
        <v>5.5</v>
      </c>
      <c r="V134" s="65"/>
      <c r="W134" s="112">
        <v>10</v>
      </c>
      <c r="X134" s="65"/>
      <c r="Y134" s="112">
        <v>6.7</v>
      </c>
      <c r="Z134" s="65"/>
      <c r="AA134" s="112">
        <v>5.4</v>
      </c>
      <c r="AB134" s="65"/>
      <c r="AC134" s="112">
        <v>6.5</v>
      </c>
      <c r="AD134" s="112"/>
      <c r="AE134" s="112"/>
    </row>
    <row r="135" spans="1:31" s="12" customFormat="1" ht="22.5" hidden="1" customHeight="1">
      <c r="A135" s="81">
        <v>3</v>
      </c>
      <c r="B135" s="79" t="s">
        <v>138</v>
      </c>
      <c r="C135" s="82" t="s">
        <v>1</v>
      </c>
      <c r="D135" s="112"/>
      <c r="E135" s="113">
        <v>75</v>
      </c>
      <c r="F135" s="113">
        <f>G135+H135+I135+J135+K135+L135+M135</f>
        <v>75</v>
      </c>
      <c r="G135" s="113">
        <v>5</v>
      </c>
      <c r="H135" s="113">
        <v>12</v>
      </c>
      <c r="I135" s="113">
        <v>0</v>
      </c>
      <c r="J135" s="113">
        <v>50</v>
      </c>
      <c r="K135" s="113">
        <v>0</v>
      </c>
      <c r="L135" s="113">
        <v>0</v>
      </c>
      <c r="M135" s="113">
        <v>8</v>
      </c>
      <c r="N135" s="170"/>
      <c r="O135" s="113">
        <f>Q135+S135+U135+W135+Y135+AA135+AC135</f>
        <v>75</v>
      </c>
      <c r="P135" s="114"/>
      <c r="Q135" s="113">
        <v>5</v>
      </c>
      <c r="R135" s="114"/>
      <c r="S135" s="113">
        <v>12</v>
      </c>
      <c r="T135" s="114"/>
      <c r="U135" s="113">
        <v>0</v>
      </c>
      <c r="V135" s="114"/>
      <c r="W135" s="113">
        <v>50</v>
      </c>
      <c r="X135" s="114"/>
      <c r="Y135" s="113">
        <v>0</v>
      </c>
      <c r="Z135" s="114"/>
      <c r="AA135" s="113">
        <v>0</v>
      </c>
      <c r="AB135" s="114"/>
      <c r="AC135" s="113">
        <v>8</v>
      </c>
      <c r="AD135" s="113"/>
      <c r="AE135" s="113"/>
    </row>
    <row r="136" spans="1:31" s="12" customFormat="1" ht="22.5" customHeight="1">
      <c r="A136" s="117" t="s">
        <v>154</v>
      </c>
      <c r="B136" s="118" t="s">
        <v>155</v>
      </c>
      <c r="C136" s="119" t="s">
        <v>1</v>
      </c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62">
        <f t="shared" ref="N136:N140" si="358">P136+R136+T136+V136+X136+Z136+AB136</f>
        <v>46.4</v>
      </c>
      <c r="O136" s="113">
        <f>Q136+S136+U136+W136+Y136+AA136+AC136</f>
        <v>0</v>
      </c>
      <c r="P136" s="120">
        <v>6.2</v>
      </c>
      <c r="Q136" s="113"/>
      <c r="R136" s="120">
        <v>6.1</v>
      </c>
      <c r="S136" s="113"/>
      <c r="T136" s="120">
        <v>5.5</v>
      </c>
      <c r="U136" s="113"/>
      <c r="V136" s="120">
        <v>10</v>
      </c>
      <c r="W136" s="113"/>
      <c r="X136" s="120">
        <v>6.7</v>
      </c>
      <c r="Y136" s="113"/>
      <c r="Z136" s="120">
        <v>5.4</v>
      </c>
      <c r="AA136" s="113"/>
      <c r="AB136" s="120">
        <v>6.5</v>
      </c>
      <c r="AC136" s="113"/>
      <c r="AD136" s="113"/>
      <c r="AE136" s="113"/>
    </row>
    <row r="137" spans="1:31" s="12" customFormat="1" ht="22.5" customHeight="1">
      <c r="A137" s="117" t="s">
        <v>156</v>
      </c>
      <c r="B137" s="118" t="s">
        <v>157</v>
      </c>
      <c r="C137" s="119" t="s">
        <v>1</v>
      </c>
      <c r="D137" s="112"/>
      <c r="E137" s="113"/>
      <c r="F137" s="113"/>
      <c r="G137" s="113"/>
      <c r="H137" s="113"/>
      <c r="I137" s="113"/>
      <c r="J137" s="113"/>
      <c r="K137" s="113"/>
      <c r="L137" s="113"/>
      <c r="M137" s="113"/>
      <c r="N137" s="170"/>
      <c r="O137" s="113">
        <f t="shared" ref="O137:O140" si="359">Q137+S137+U137+W137+Y137+AA137+AC137</f>
        <v>0</v>
      </c>
      <c r="P137" s="114"/>
      <c r="Q137" s="113"/>
      <c r="R137" s="114"/>
      <c r="S137" s="113"/>
      <c r="T137" s="114"/>
      <c r="U137" s="113"/>
      <c r="V137" s="114"/>
      <c r="W137" s="113"/>
      <c r="X137" s="114"/>
      <c r="Y137" s="113"/>
      <c r="Z137" s="114"/>
      <c r="AA137" s="113"/>
      <c r="AB137" s="114"/>
      <c r="AC137" s="113"/>
      <c r="AD137" s="113"/>
      <c r="AE137" s="113"/>
    </row>
    <row r="138" spans="1:31" s="12" customFormat="1" ht="22.5" customHeight="1">
      <c r="A138" s="117" t="s">
        <v>158</v>
      </c>
      <c r="B138" s="118" t="s">
        <v>159</v>
      </c>
      <c r="C138" s="119" t="s">
        <v>1</v>
      </c>
      <c r="D138" s="112"/>
      <c r="E138" s="113"/>
      <c r="F138" s="113"/>
      <c r="G138" s="113"/>
      <c r="H138" s="113"/>
      <c r="I138" s="113"/>
      <c r="J138" s="113"/>
      <c r="K138" s="113"/>
      <c r="L138" s="113"/>
      <c r="M138" s="113"/>
      <c r="N138" s="162">
        <f t="shared" si="358"/>
        <v>19.100000000000001</v>
      </c>
      <c r="O138" s="113">
        <f t="shared" si="359"/>
        <v>19.100000000000001</v>
      </c>
      <c r="P138" s="121">
        <v>3.7</v>
      </c>
      <c r="Q138" s="113">
        <v>3.7</v>
      </c>
      <c r="R138" s="121">
        <v>2.2999999999999998</v>
      </c>
      <c r="S138" s="113">
        <v>2.2999999999999998</v>
      </c>
      <c r="T138" s="121">
        <v>0.4</v>
      </c>
      <c r="U138" s="113">
        <v>0.4</v>
      </c>
      <c r="V138" s="121">
        <v>3.4</v>
      </c>
      <c r="W138" s="113">
        <v>3.4</v>
      </c>
      <c r="X138" s="121">
        <v>0.4</v>
      </c>
      <c r="Y138" s="113">
        <v>0.4</v>
      </c>
      <c r="Z138" s="121">
        <v>3.5</v>
      </c>
      <c r="AA138" s="113">
        <v>3.5</v>
      </c>
      <c r="AB138" s="121">
        <v>5.4</v>
      </c>
      <c r="AC138" s="113">
        <v>5.4</v>
      </c>
      <c r="AD138" s="113"/>
      <c r="AE138" s="113"/>
    </row>
    <row r="139" spans="1:31" s="12" customFormat="1" ht="22.5" customHeight="1">
      <c r="A139" s="122" t="s">
        <v>3</v>
      </c>
      <c r="B139" s="100" t="s">
        <v>160</v>
      </c>
      <c r="C139" s="123" t="s">
        <v>1</v>
      </c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70"/>
      <c r="O139" s="113">
        <f t="shared" si="359"/>
        <v>0</v>
      </c>
      <c r="P139" s="114"/>
      <c r="Q139" s="113"/>
      <c r="R139" s="114"/>
      <c r="S139" s="113"/>
      <c r="T139" s="114"/>
      <c r="U139" s="113"/>
      <c r="V139" s="114"/>
      <c r="W139" s="113"/>
      <c r="X139" s="114"/>
      <c r="Y139" s="113"/>
      <c r="Z139" s="114"/>
      <c r="AA139" s="113"/>
      <c r="AB139" s="114"/>
      <c r="AC139" s="113"/>
      <c r="AD139" s="113"/>
      <c r="AE139" s="113"/>
    </row>
    <row r="140" spans="1:31" s="12" customFormat="1" ht="22.5" customHeight="1">
      <c r="A140" s="117" t="s">
        <v>161</v>
      </c>
      <c r="B140" s="118" t="s">
        <v>138</v>
      </c>
      <c r="C140" s="119" t="s">
        <v>1</v>
      </c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62">
        <f t="shared" si="358"/>
        <v>75</v>
      </c>
      <c r="O140" s="113">
        <f t="shared" si="359"/>
        <v>75</v>
      </c>
      <c r="P140" s="120">
        <v>5</v>
      </c>
      <c r="Q140" s="113">
        <v>5</v>
      </c>
      <c r="R140" s="120">
        <v>12</v>
      </c>
      <c r="S140" s="113">
        <v>12</v>
      </c>
      <c r="T140" s="120"/>
      <c r="U140" s="113">
        <v>0</v>
      </c>
      <c r="V140" s="120">
        <v>50</v>
      </c>
      <c r="W140" s="113">
        <v>50</v>
      </c>
      <c r="X140" s="120"/>
      <c r="Y140" s="113"/>
      <c r="Z140" s="120"/>
      <c r="AA140" s="113"/>
      <c r="AB140" s="120">
        <v>8</v>
      </c>
      <c r="AC140" s="113">
        <v>8</v>
      </c>
      <c r="AD140" s="113"/>
      <c r="AE140" s="113"/>
    </row>
    <row r="141" spans="1:31" ht="22.5" customHeight="1">
      <c r="A141" s="58" t="s">
        <v>31</v>
      </c>
      <c r="B141" s="124" t="s">
        <v>43</v>
      </c>
      <c r="C141" s="54" t="s">
        <v>40</v>
      </c>
      <c r="D141" s="55">
        <f>D142+D147</f>
        <v>120210</v>
      </c>
      <c r="E141" s="56">
        <f>E142+E147</f>
        <v>119358</v>
      </c>
      <c r="F141" s="56">
        <f t="shared" ref="F141:M141" si="360">F142+F147</f>
        <v>121759</v>
      </c>
      <c r="G141" s="55">
        <f t="shared" si="360"/>
        <v>12616</v>
      </c>
      <c r="H141" s="55">
        <f t="shared" si="360"/>
        <v>24225</v>
      </c>
      <c r="I141" s="55">
        <f t="shared" si="360"/>
        <v>9229</v>
      </c>
      <c r="J141" s="55">
        <f t="shared" si="360"/>
        <v>18725</v>
      </c>
      <c r="K141" s="55">
        <f t="shared" si="360"/>
        <v>32972</v>
      </c>
      <c r="L141" s="55">
        <f t="shared" si="360"/>
        <v>16029</v>
      </c>
      <c r="M141" s="55">
        <f t="shared" si="360"/>
        <v>7963</v>
      </c>
      <c r="N141" s="158">
        <f>N142+N147</f>
        <v>123548</v>
      </c>
      <c r="O141" s="56">
        <f t="shared" ref="O141:P141" si="361">O142+O147</f>
        <v>106845</v>
      </c>
      <c r="P141" s="30">
        <f t="shared" si="361"/>
        <v>12790</v>
      </c>
      <c r="Q141" s="55">
        <f t="shared" ref="Q141:R141" si="362">Q142+Q147</f>
        <v>11984</v>
      </c>
      <c r="R141" s="30">
        <f t="shared" si="362"/>
        <v>24569</v>
      </c>
      <c r="S141" s="55">
        <f t="shared" ref="S141:T141" si="363">S142+S147</f>
        <v>20055</v>
      </c>
      <c r="T141" s="30">
        <f t="shared" si="363"/>
        <v>9373</v>
      </c>
      <c r="U141" s="55">
        <f t="shared" ref="U141:V141" si="364">U142+U147</f>
        <v>8126</v>
      </c>
      <c r="V141" s="30">
        <f t="shared" si="364"/>
        <v>19112</v>
      </c>
      <c r="W141" s="55">
        <f t="shared" ref="W141:X141" si="365">W142+W147</f>
        <v>16342</v>
      </c>
      <c r="X141" s="30">
        <f t="shared" si="365"/>
        <v>33422</v>
      </c>
      <c r="Y141" s="55">
        <f t="shared" ref="Y141:Z141" si="366">Y142+Y147</f>
        <v>29741</v>
      </c>
      <c r="Z141" s="30">
        <f t="shared" si="366"/>
        <v>16146</v>
      </c>
      <c r="AA141" s="55">
        <f t="shared" ref="AA141:AB141" si="367">AA142+AA147</f>
        <v>13589</v>
      </c>
      <c r="AB141" s="30">
        <f t="shared" si="367"/>
        <v>8136</v>
      </c>
      <c r="AC141" s="55">
        <f t="shared" ref="AC141" si="368">AC142+AC147</f>
        <v>7008</v>
      </c>
      <c r="AD141" s="68"/>
      <c r="AE141" s="55"/>
    </row>
    <row r="142" spans="1:31" ht="22.5" customHeight="1">
      <c r="A142" s="58" t="s">
        <v>9</v>
      </c>
      <c r="B142" s="71" t="s">
        <v>77</v>
      </c>
      <c r="C142" s="95" t="s">
        <v>40</v>
      </c>
      <c r="D142" s="96">
        <f>D143+D144+D145+D146</f>
        <v>36857</v>
      </c>
      <c r="E142" s="56">
        <f>E143+E144+E145+E146</f>
        <v>37460</v>
      </c>
      <c r="F142" s="56">
        <f t="shared" ref="F142:M142" si="369">F143+F144+F145+F146</f>
        <v>37947</v>
      </c>
      <c r="G142" s="96">
        <f t="shared" si="369"/>
        <v>5164</v>
      </c>
      <c r="H142" s="96">
        <f t="shared" si="369"/>
        <v>7780</v>
      </c>
      <c r="I142" s="96">
        <f t="shared" si="369"/>
        <v>3686</v>
      </c>
      <c r="J142" s="96">
        <f t="shared" si="369"/>
        <v>7084</v>
      </c>
      <c r="K142" s="96">
        <f t="shared" si="369"/>
        <v>6149</v>
      </c>
      <c r="L142" s="96">
        <f t="shared" si="369"/>
        <v>5044</v>
      </c>
      <c r="M142" s="96">
        <f t="shared" si="369"/>
        <v>3040</v>
      </c>
      <c r="N142" s="165">
        <f>N143+N144+N145+N146</f>
        <v>39736</v>
      </c>
      <c r="O142" s="56">
        <f t="shared" ref="O142:P142" si="370">O143+O144+O145+O146</f>
        <v>35232</v>
      </c>
      <c r="P142" s="30">
        <f t="shared" si="370"/>
        <v>5338</v>
      </c>
      <c r="Q142" s="96">
        <f t="shared" ref="Q142:R142" si="371">Q143+Q144+Q145+Q146</f>
        <v>5082</v>
      </c>
      <c r="R142" s="30">
        <f t="shared" si="371"/>
        <v>8124</v>
      </c>
      <c r="S142" s="96">
        <f t="shared" ref="S142:T142" si="372">S143+S144+S145+S146</f>
        <v>7262</v>
      </c>
      <c r="T142" s="30">
        <f t="shared" si="372"/>
        <v>3830</v>
      </c>
      <c r="U142" s="96">
        <f t="shared" ref="U142:V142" si="373">U143+U144+U145+U146</f>
        <v>3473</v>
      </c>
      <c r="V142" s="30">
        <f t="shared" si="373"/>
        <v>7471</v>
      </c>
      <c r="W142" s="96">
        <f t="shared" ref="W142:X142" si="374">W143+W144+W145+W146</f>
        <v>6501</v>
      </c>
      <c r="X142" s="30">
        <f t="shared" si="374"/>
        <v>6599</v>
      </c>
      <c r="Y142" s="96">
        <f t="shared" ref="Y142:Z142" si="375">Y143+Y144+Y145+Y146</f>
        <v>5600</v>
      </c>
      <c r="Z142" s="30">
        <f t="shared" si="375"/>
        <v>5161</v>
      </c>
      <c r="AA142" s="96">
        <f t="shared" ref="AA142:AB142" si="376">AA143+AA144+AA145+AA146</f>
        <v>4464</v>
      </c>
      <c r="AB142" s="30">
        <f t="shared" si="376"/>
        <v>3213</v>
      </c>
      <c r="AC142" s="96">
        <f t="shared" ref="AC142" si="377">AC143+AC144+AC145+AC146</f>
        <v>2850</v>
      </c>
      <c r="AD142" s="83"/>
      <c r="AE142" s="96"/>
    </row>
    <row r="143" spans="1:31" ht="22.5" customHeight="1">
      <c r="A143" s="52">
        <v>1</v>
      </c>
      <c r="B143" s="61" t="s">
        <v>25</v>
      </c>
      <c r="C143" s="59" t="s">
        <v>40</v>
      </c>
      <c r="D143" s="68">
        <v>164</v>
      </c>
      <c r="E143" s="63">
        <v>150</v>
      </c>
      <c r="F143" s="63">
        <f>G143+H143+I143+J143+K143+L143+M143</f>
        <v>144</v>
      </c>
      <c r="G143" s="68">
        <v>90</v>
      </c>
      <c r="H143" s="68">
        <v>3</v>
      </c>
      <c r="I143" s="68">
        <v>38</v>
      </c>
      <c r="J143" s="68">
        <v>0</v>
      </c>
      <c r="K143" s="63">
        <v>3</v>
      </c>
      <c r="L143" s="68">
        <v>8</v>
      </c>
      <c r="M143" s="68">
        <v>2</v>
      </c>
      <c r="N143" s="162">
        <f t="shared" ref="N143:N147" si="378">P143+R143+T143+V143+X143+Z143+AB143</f>
        <v>149</v>
      </c>
      <c r="O143" s="63">
        <f>Q143+S143+U143+W143+Y143+AA143+AC143</f>
        <v>144</v>
      </c>
      <c r="P143" s="76">
        <v>93</v>
      </c>
      <c r="Q143" s="68">
        <v>90</v>
      </c>
      <c r="R143" s="76">
        <v>3</v>
      </c>
      <c r="S143" s="68">
        <v>3</v>
      </c>
      <c r="T143" s="76">
        <v>40</v>
      </c>
      <c r="U143" s="68">
        <v>38</v>
      </c>
      <c r="V143" s="76">
        <v>0</v>
      </c>
      <c r="W143" s="68">
        <v>0</v>
      </c>
      <c r="X143" s="76">
        <v>3</v>
      </c>
      <c r="Y143" s="63">
        <v>3</v>
      </c>
      <c r="Z143" s="76">
        <v>8</v>
      </c>
      <c r="AA143" s="68">
        <v>8</v>
      </c>
      <c r="AB143" s="76">
        <v>2</v>
      </c>
      <c r="AC143" s="68">
        <v>2</v>
      </c>
      <c r="AD143" s="68"/>
      <c r="AE143" s="68"/>
    </row>
    <row r="144" spans="1:31" ht="22.5" customHeight="1">
      <c r="A144" s="52">
        <v>2</v>
      </c>
      <c r="B144" s="61" t="s">
        <v>26</v>
      </c>
      <c r="C144" s="59" t="s">
        <v>40</v>
      </c>
      <c r="D144" s="68">
        <v>10471</v>
      </c>
      <c r="E144" s="63">
        <v>11312</v>
      </c>
      <c r="F144" s="63">
        <f>G144+H144+I144+J144+K144+L144+M144</f>
        <v>10594</v>
      </c>
      <c r="G144" s="68">
        <f>1955+68</f>
        <v>2023</v>
      </c>
      <c r="H144" s="68">
        <f>1988+28</f>
        <v>2016</v>
      </c>
      <c r="I144" s="68">
        <f>1755+46</f>
        <v>1801</v>
      </c>
      <c r="J144" s="68">
        <v>2150</v>
      </c>
      <c r="K144" s="68">
        <v>1110</v>
      </c>
      <c r="L144" s="68">
        <f>553+55</f>
        <v>608</v>
      </c>
      <c r="M144" s="68">
        <v>886</v>
      </c>
      <c r="N144" s="162">
        <f t="shared" si="378"/>
        <v>11389</v>
      </c>
      <c r="O144" s="63">
        <f>Q144+S144+U144+W144+Y144+AA144+AC144</f>
        <v>10538</v>
      </c>
      <c r="P144" s="76">
        <f>2015+125</f>
        <v>2140</v>
      </c>
      <c r="Q144" s="68">
        <f>1955+68-2</f>
        <v>2021</v>
      </c>
      <c r="R144" s="76">
        <f>1951+150</f>
        <v>2101</v>
      </c>
      <c r="S144" s="68">
        <f>1988+28-12</f>
        <v>2004</v>
      </c>
      <c r="T144" s="76">
        <f>1815+110</f>
        <v>1925</v>
      </c>
      <c r="U144" s="68">
        <f>1755+46-8</f>
        <v>1793</v>
      </c>
      <c r="V144" s="76">
        <f>2275+120</f>
        <v>2395</v>
      </c>
      <c r="W144" s="68">
        <f>2150-8-12</f>
        <v>2130</v>
      </c>
      <c r="X144" s="76">
        <f>1005+100</f>
        <v>1105</v>
      </c>
      <c r="Y144" s="68">
        <f>1110-14</f>
        <v>1096</v>
      </c>
      <c r="Z144" s="76">
        <f>638+70</f>
        <v>708</v>
      </c>
      <c r="AA144" s="68">
        <f>553+55</f>
        <v>608</v>
      </c>
      <c r="AB144" s="76">
        <f>935+80</f>
        <v>1015</v>
      </c>
      <c r="AC144" s="68">
        <v>886</v>
      </c>
      <c r="AD144" s="68"/>
      <c r="AE144" s="68"/>
    </row>
    <row r="145" spans="1:31" ht="22.5" customHeight="1">
      <c r="A145" s="52">
        <v>3</v>
      </c>
      <c r="B145" s="61" t="s">
        <v>27</v>
      </c>
      <c r="C145" s="59" t="s">
        <v>40</v>
      </c>
      <c r="D145" s="68">
        <v>22980</v>
      </c>
      <c r="E145" s="63">
        <v>22670</v>
      </c>
      <c r="F145" s="63">
        <f>G145+H145+I145+J145+K145+L145+M145</f>
        <v>23886</v>
      </c>
      <c r="G145" s="68">
        <v>2196</v>
      </c>
      <c r="H145" s="68">
        <v>5363</v>
      </c>
      <c r="I145" s="68">
        <v>1232</v>
      </c>
      <c r="J145" s="68">
        <v>4724</v>
      </c>
      <c r="K145" s="68">
        <v>4498</v>
      </c>
      <c r="L145" s="68">
        <v>4284</v>
      </c>
      <c r="M145" s="68">
        <v>1589</v>
      </c>
      <c r="N145" s="162">
        <f t="shared" si="378"/>
        <v>24925</v>
      </c>
      <c r="O145" s="63">
        <f>Q145+S145+U145+W145+Y145+AA145+AC145</f>
        <v>21420</v>
      </c>
      <c r="P145" s="76">
        <f>2280</f>
        <v>2280</v>
      </c>
      <c r="Q145" s="68">
        <f>2196-35-10</f>
        <v>2151</v>
      </c>
      <c r="R145" s="76">
        <f>5456+199</f>
        <v>5655</v>
      </c>
      <c r="S145" s="68">
        <f>5363-250-36-45-150</f>
        <v>4882</v>
      </c>
      <c r="T145" s="76">
        <f>1185+30</f>
        <v>1215</v>
      </c>
      <c r="U145" s="68">
        <f>1232-125-45</f>
        <v>1062</v>
      </c>
      <c r="V145" s="76">
        <f>4535+316</f>
        <v>4851</v>
      </c>
      <c r="W145" s="68">
        <f>4724-200-350</f>
        <v>4174</v>
      </c>
      <c r="X145" s="76">
        <f>4568+400</f>
        <v>4968</v>
      </c>
      <c r="Y145" s="68">
        <f>4498-300-120-85</f>
        <v>3993</v>
      </c>
      <c r="Z145" s="76">
        <f>4125+180</f>
        <v>4305</v>
      </c>
      <c r="AA145" s="68">
        <f>4284-350-210</f>
        <v>3724</v>
      </c>
      <c r="AB145" s="76">
        <f>1646+5</f>
        <v>1651</v>
      </c>
      <c r="AC145" s="68">
        <f>1589-120-35</f>
        <v>1434</v>
      </c>
      <c r="AD145" s="68"/>
      <c r="AE145" s="68"/>
    </row>
    <row r="146" spans="1:31" ht="22.5" customHeight="1">
      <c r="A146" s="52">
        <v>4</v>
      </c>
      <c r="B146" s="61" t="s">
        <v>28</v>
      </c>
      <c r="C146" s="59" t="s">
        <v>40</v>
      </c>
      <c r="D146" s="68">
        <v>3242</v>
      </c>
      <c r="E146" s="63">
        <v>3328</v>
      </c>
      <c r="F146" s="63">
        <f>G146+H146+I146+J146+K146+L146+M146</f>
        <v>3323</v>
      </c>
      <c r="G146" s="68">
        <v>855</v>
      </c>
      <c r="H146" s="68">
        <v>398</v>
      </c>
      <c r="I146" s="68">
        <v>615</v>
      </c>
      <c r="J146" s="68">
        <v>210</v>
      </c>
      <c r="K146" s="68">
        <v>538</v>
      </c>
      <c r="L146" s="68">
        <v>144</v>
      </c>
      <c r="M146" s="68">
        <v>563</v>
      </c>
      <c r="N146" s="162">
        <f t="shared" si="378"/>
        <v>3273</v>
      </c>
      <c r="O146" s="63">
        <f>Q146+S146+U146+W146+Y146+AA146+AC146</f>
        <v>3130</v>
      </c>
      <c r="P146" s="76">
        <f>855-30</f>
        <v>825</v>
      </c>
      <c r="Q146" s="68">
        <f>855-35</f>
        <v>820</v>
      </c>
      <c r="R146" s="76">
        <f>350+15</f>
        <v>365</v>
      </c>
      <c r="S146" s="68">
        <f>398-25</f>
        <v>373</v>
      </c>
      <c r="T146" s="76">
        <f>630+20</f>
        <v>650</v>
      </c>
      <c r="U146" s="68">
        <f>615-35</f>
        <v>580</v>
      </c>
      <c r="V146" s="76">
        <f>215+10</f>
        <v>225</v>
      </c>
      <c r="W146" s="68">
        <f>210-13</f>
        <v>197</v>
      </c>
      <c r="X146" s="76">
        <f>538-15</f>
        <v>523</v>
      </c>
      <c r="Y146" s="68">
        <f>538-30</f>
        <v>508</v>
      </c>
      <c r="Z146" s="76">
        <v>140</v>
      </c>
      <c r="AA146" s="68">
        <f>144-20</f>
        <v>124</v>
      </c>
      <c r="AB146" s="76">
        <f>563-18</f>
        <v>545</v>
      </c>
      <c r="AC146" s="68">
        <f>563-35</f>
        <v>528</v>
      </c>
      <c r="AD146" s="68"/>
      <c r="AE146" s="68"/>
    </row>
    <row r="147" spans="1:31" s="13" customFormat="1" ht="22.5" customHeight="1">
      <c r="A147" s="70" t="s">
        <v>30</v>
      </c>
      <c r="B147" s="71" t="s">
        <v>29</v>
      </c>
      <c r="C147" s="95" t="s">
        <v>40</v>
      </c>
      <c r="D147" s="55">
        <v>83353</v>
      </c>
      <c r="E147" s="56">
        <v>81898</v>
      </c>
      <c r="F147" s="56">
        <f>G147+H147+I147+J147+K147+L147+M147</f>
        <v>83812</v>
      </c>
      <c r="G147" s="96">
        <f>6975+477</f>
        <v>7452</v>
      </c>
      <c r="H147" s="96">
        <v>16445</v>
      </c>
      <c r="I147" s="96">
        <f>5195+348</f>
        <v>5543</v>
      </c>
      <c r="J147" s="96">
        <f>10910+731</f>
        <v>11641</v>
      </c>
      <c r="K147" s="96">
        <f>25983+840</f>
        <v>26823</v>
      </c>
      <c r="L147" s="96">
        <v>10985</v>
      </c>
      <c r="M147" s="96">
        <v>4923</v>
      </c>
      <c r="N147" s="165">
        <f t="shared" si="378"/>
        <v>83812</v>
      </c>
      <c r="O147" s="56">
        <f>Q147+S147+U147+W147+Y147+AA147+AC147</f>
        <v>71613</v>
      </c>
      <c r="P147" s="125">
        <v>7452</v>
      </c>
      <c r="Q147" s="96">
        <f>7452-200-300-50</f>
        <v>6902</v>
      </c>
      <c r="R147" s="125">
        <v>16445</v>
      </c>
      <c r="S147" s="96">
        <f>16445-300-3000-352</f>
        <v>12793</v>
      </c>
      <c r="T147" s="125">
        <v>5543</v>
      </c>
      <c r="U147" s="96">
        <f>5543-240-400-250</f>
        <v>4653</v>
      </c>
      <c r="V147" s="125">
        <v>11641</v>
      </c>
      <c r="W147" s="96">
        <f>11641-540-900-360</f>
        <v>9841</v>
      </c>
      <c r="X147" s="125">
        <v>26823</v>
      </c>
      <c r="Y147" s="96">
        <f>26823-800-1500-382</f>
        <v>24141</v>
      </c>
      <c r="Z147" s="125">
        <v>10985</v>
      </c>
      <c r="AA147" s="96">
        <f>10985-680-750-430</f>
        <v>9125</v>
      </c>
      <c r="AB147" s="125">
        <v>4923</v>
      </c>
      <c r="AC147" s="96">
        <f>4923-210-500-55</f>
        <v>4158</v>
      </c>
      <c r="AD147" s="83"/>
      <c r="AE147" s="96"/>
    </row>
    <row r="148" spans="1:31" s="12" customFormat="1" ht="22.5" customHeight="1">
      <c r="A148" s="126" t="s">
        <v>32</v>
      </c>
      <c r="B148" s="127" t="s">
        <v>78</v>
      </c>
      <c r="C148" s="128"/>
      <c r="D148" s="129"/>
      <c r="E148" s="63"/>
      <c r="F148" s="63"/>
      <c r="G148" s="55"/>
      <c r="H148" s="55"/>
      <c r="I148" s="55"/>
      <c r="J148" s="55"/>
      <c r="K148" s="55"/>
      <c r="L148" s="55"/>
      <c r="M148" s="55"/>
      <c r="N148" s="158"/>
      <c r="O148" s="63"/>
      <c r="P148" s="65"/>
      <c r="Q148" s="55"/>
      <c r="R148" s="65"/>
      <c r="S148" s="55"/>
      <c r="T148" s="65"/>
      <c r="U148" s="55"/>
      <c r="V148" s="65"/>
      <c r="W148" s="55"/>
      <c r="X148" s="65"/>
      <c r="Y148" s="55"/>
      <c r="Z148" s="65"/>
      <c r="AA148" s="55"/>
      <c r="AB148" s="65"/>
      <c r="AC148" s="55"/>
      <c r="AD148" s="68"/>
      <c r="AE148" s="55"/>
    </row>
    <row r="149" spans="1:31" s="12" customFormat="1" ht="22.5" customHeight="1">
      <c r="A149" s="126" t="s">
        <v>63</v>
      </c>
      <c r="B149" s="127" t="s">
        <v>79</v>
      </c>
      <c r="C149" s="128" t="s">
        <v>36</v>
      </c>
      <c r="D149" s="108">
        <f>D151+D158</f>
        <v>191.11999999999998</v>
      </c>
      <c r="E149" s="56">
        <f>E151+E158</f>
        <v>186.15033</v>
      </c>
      <c r="F149" s="56">
        <f>F151+F158</f>
        <v>189.4076</v>
      </c>
      <c r="G149" s="108">
        <f t="shared" ref="G149:M149" si="379">G151+G158</f>
        <v>8.25</v>
      </c>
      <c r="H149" s="108">
        <f t="shared" si="379"/>
        <v>59.160600000000017</v>
      </c>
      <c r="I149" s="108">
        <f t="shared" si="379"/>
        <v>14.790999999999999</v>
      </c>
      <c r="J149" s="108">
        <f t="shared" si="379"/>
        <v>18.987000000000002</v>
      </c>
      <c r="K149" s="108">
        <f t="shared" si="379"/>
        <v>46</v>
      </c>
      <c r="L149" s="108">
        <f t="shared" si="379"/>
        <v>22.57</v>
      </c>
      <c r="M149" s="108">
        <f t="shared" si="379"/>
        <v>20.553000000000001</v>
      </c>
      <c r="N149" s="173">
        <f>N151+N158</f>
        <v>192.72493000000003</v>
      </c>
      <c r="O149" s="107">
        <f>O151+O158</f>
        <v>3.1999999999999997</v>
      </c>
      <c r="P149" s="130">
        <f t="shared" ref="P149" si="380">P151+P158</f>
        <v>8.25</v>
      </c>
      <c r="Q149" s="131">
        <f t="shared" ref="Q149:R149" si="381">Q151+Q158</f>
        <v>0.5</v>
      </c>
      <c r="R149" s="130">
        <f t="shared" si="381"/>
        <v>59.430000000000007</v>
      </c>
      <c r="S149" s="131">
        <f t="shared" ref="S149:T149" si="382">S151+S158</f>
        <v>0.39999999999999991</v>
      </c>
      <c r="T149" s="130">
        <f t="shared" si="382"/>
        <v>15.149999999999999</v>
      </c>
      <c r="U149" s="131">
        <f t="shared" ref="U149:V149" si="383">U151+U158</f>
        <v>0.5</v>
      </c>
      <c r="V149" s="130">
        <f t="shared" si="383"/>
        <v>20.516000000000002</v>
      </c>
      <c r="W149" s="131">
        <f t="shared" ref="W149:X149" si="384">W151+W158</f>
        <v>0.39999999999999991</v>
      </c>
      <c r="X149" s="130">
        <f t="shared" si="384"/>
        <v>45.5</v>
      </c>
      <c r="Y149" s="131">
        <f t="shared" ref="Y149:Z149" si="385">Y151+Y158</f>
        <v>0.60000000000000009</v>
      </c>
      <c r="Z149" s="130">
        <f t="shared" si="385"/>
        <v>22.428000000000004</v>
      </c>
      <c r="AA149" s="131">
        <f t="shared" ref="AA149:AB149" si="386">AA151+AA158</f>
        <v>0.39999999999999991</v>
      </c>
      <c r="AB149" s="130">
        <f t="shared" si="386"/>
        <v>21.45093</v>
      </c>
      <c r="AC149" s="131">
        <f t="shared" ref="AC149" si="387">AC151+AC158</f>
        <v>0.39999999999999991</v>
      </c>
      <c r="AD149" s="116"/>
      <c r="AE149" s="108"/>
    </row>
    <row r="150" spans="1:31" ht="22.5" customHeight="1">
      <c r="A150" s="126" t="s">
        <v>9</v>
      </c>
      <c r="B150" s="127" t="s">
        <v>120</v>
      </c>
      <c r="C150" s="128" t="s">
        <v>1</v>
      </c>
      <c r="D150" s="108">
        <f>D152+D155</f>
        <v>61</v>
      </c>
      <c r="E150" s="63">
        <f>E152+E155</f>
        <v>61.17</v>
      </c>
      <c r="F150" s="63">
        <f>F152+F155</f>
        <v>61.830000000000005</v>
      </c>
      <c r="G150" s="56">
        <f>G152+G155</f>
        <v>1.5</v>
      </c>
      <c r="H150" s="56">
        <f t="shared" ref="H150:M150" si="388">H152+H155</f>
        <v>13.9</v>
      </c>
      <c r="I150" s="56">
        <f t="shared" si="388"/>
        <v>4.59</v>
      </c>
      <c r="J150" s="56">
        <f t="shared" si="388"/>
        <v>4.95</v>
      </c>
      <c r="K150" s="56">
        <f t="shared" si="388"/>
        <v>10</v>
      </c>
      <c r="L150" s="56">
        <f t="shared" si="388"/>
        <v>4.3</v>
      </c>
      <c r="M150" s="56">
        <f t="shared" si="388"/>
        <v>22.59</v>
      </c>
      <c r="N150" s="159">
        <f>N152+N155</f>
        <v>61.900000000000006</v>
      </c>
      <c r="O150" s="63">
        <f>O152+O155</f>
        <v>61.830000000000005</v>
      </c>
      <c r="P150" s="30">
        <f t="shared" ref="P150" si="389">P152+P155</f>
        <v>1.5</v>
      </c>
      <c r="Q150" s="56">
        <f>Q152+Q155</f>
        <v>1.5</v>
      </c>
      <c r="R150" s="30">
        <f t="shared" ref="R150" si="390">R152+R155</f>
        <v>13.9</v>
      </c>
      <c r="S150" s="56">
        <f t="shared" ref="S150:T150" si="391">S152+S155</f>
        <v>13.9</v>
      </c>
      <c r="T150" s="30">
        <f t="shared" si="391"/>
        <v>4.59</v>
      </c>
      <c r="U150" s="56">
        <f t="shared" ref="U150:V150" si="392">U152+U155</f>
        <v>4.59</v>
      </c>
      <c r="V150" s="30">
        <f t="shared" si="392"/>
        <v>4.96</v>
      </c>
      <c r="W150" s="56">
        <f t="shared" ref="W150:X150" si="393">W152+W155</f>
        <v>4.95</v>
      </c>
      <c r="X150" s="30">
        <f t="shared" si="393"/>
        <v>10</v>
      </c>
      <c r="Y150" s="56">
        <f t="shared" ref="Y150:Z150" si="394">Y152+Y155</f>
        <v>10</v>
      </c>
      <c r="Z150" s="30">
        <f t="shared" si="394"/>
        <v>4.3600000000000003</v>
      </c>
      <c r="AA150" s="56">
        <f t="shared" ref="AA150:AB150" si="395">AA152+AA155</f>
        <v>4.3</v>
      </c>
      <c r="AB150" s="30">
        <f t="shared" si="395"/>
        <v>22.59</v>
      </c>
      <c r="AC150" s="56">
        <f t="shared" ref="AC150" si="396">AC152+AC155</f>
        <v>22.59</v>
      </c>
      <c r="AD150" s="63"/>
      <c r="AE150" s="56"/>
    </row>
    <row r="151" spans="1:31" s="12" customFormat="1" ht="22.5" customHeight="1">
      <c r="A151" s="132" t="s">
        <v>3</v>
      </c>
      <c r="B151" s="127" t="s">
        <v>84</v>
      </c>
      <c r="C151" s="133" t="s">
        <v>36</v>
      </c>
      <c r="D151" s="108">
        <f>D154+D157</f>
        <v>179.11999999999998</v>
      </c>
      <c r="E151" s="56">
        <f>E154+E157</f>
        <v>175.15033</v>
      </c>
      <c r="F151" s="108">
        <f t="shared" ref="F151:M151" si="397">F154+F157</f>
        <v>178.4076</v>
      </c>
      <c r="G151" s="108">
        <f t="shared" si="397"/>
        <v>6.75</v>
      </c>
      <c r="H151" s="108">
        <f t="shared" si="397"/>
        <v>57.160600000000017</v>
      </c>
      <c r="I151" s="108">
        <f t="shared" si="397"/>
        <v>13.290999999999999</v>
      </c>
      <c r="J151" s="108">
        <f t="shared" si="397"/>
        <v>17.487000000000002</v>
      </c>
      <c r="K151" s="108">
        <f t="shared" si="397"/>
        <v>44.5</v>
      </c>
      <c r="L151" s="108">
        <f t="shared" si="397"/>
        <v>21.07</v>
      </c>
      <c r="M151" s="108">
        <f t="shared" si="397"/>
        <v>19.053000000000001</v>
      </c>
      <c r="N151" s="174">
        <f t="shared" ref="N151:P151" si="398">N154+N157</f>
        <v>180.72493000000003</v>
      </c>
      <c r="O151" s="108">
        <f t="shared" si="398"/>
        <v>0</v>
      </c>
      <c r="P151" s="30">
        <f t="shared" si="398"/>
        <v>6.75</v>
      </c>
      <c r="Q151" s="108">
        <f t="shared" ref="Q151:R151" si="399">Q154+Q157</f>
        <v>0</v>
      </c>
      <c r="R151" s="30">
        <f t="shared" si="399"/>
        <v>57.430000000000007</v>
      </c>
      <c r="S151" s="108">
        <f t="shared" ref="S151:T151" si="400">S154+S157</f>
        <v>0</v>
      </c>
      <c r="T151" s="30">
        <f t="shared" si="400"/>
        <v>13.649999999999999</v>
      </c>
      <c r="U151" s="108">
        <f t="shared" ref="U151:V151" si="401">U154+U157</f>
        <v>0</v>
      </c>
      <c r="V151" s="30">
        <f t="shared" si="401"/>
        <v>18.516000000000002</v>
      </c>
      <c r="W151" s="108">
        <f t="shared" ref="W151:X151" si="402">W154+W157</f>
        <v>0</v>
      </c>
      <c r="X151" s="30">
        <f t="shared" si="402"/>
        <v>43.5</v>
      </c>
      <c r="Y151" s="108">
        <f t="shared" ref="Y151:Z151" si="403">Y154+Y157</f>
        <v>0</v>
      </c>
      <c r="Z151" s="30">
        <f t="shared" si="403"/>
        <v>20.928000000000004</v>
      </c>
      <c r="AA151" s="108">
        <f t="shared" ref="AA151:AB151" si="404">AA154+AA157</f>
        <v>0</v>
      </c>
      <c r="AB151" s="30">
        <f t="shared" si="404"/>
        <v>19.95093</v>
      </c>
      <c r="AC151" s="108">
        <f t="shared" ref="AC151" si="405">AC154+AC157</f>
        <v>0</v>
      </c>
      <c r="AD151" s="116"/>
      <c r="AE151" s="108"/>
    </row>
    <row r="152" spans="1:31" s="12" customFormat="1" ht="22.5" customHeight="1">
      <c r="A152" s="126">
        <v>1</v>
      </c>
      <c r="B152" s="127" t="s">
        <v>80</v>
      </c>
      <c r="C152" s="128" t="s">
        <v>1</v>
      </c>
      <c r="D152" s="116">
        <v>34</v>
      </c>
      <c r="E152" s="63">
        <v>34.11</v>
      </c>
      <c r="F152" s="56">
        <f>G152+H152+I152+J152+K152+L152+M152</f>
        <v>34.770000000000003</v>
      </c>
      <c r="G152" s="56">
        <v>1.5</v>
      </c>
      <c r="H152" s="56">
        <v>10.9</v>
      </c>
      <c r="I152" s="56">
        <v>2.59</v>
      </c>
      <c r="J152" s="56">
        <v>3.69</v>
      </c>
      <c r="K152" s="56">
        <v>9</v>
      </c>
      <c r="L152" s="56">
        <v>4.3</v>
      </c>
      <c r="M152" s="56">
        <v>2.79</v>
      </c>
      <c r="N152" s="160">
        <f t="shared" ref="N152" si="406">P152+R152+T152+V152+X152+Z152+AB152</f>
        <v>34.840000000000003</v>
      </c>
      <c r="O152" s="56">
        <f>Q152+S152+U152+W152+Y152+AA152+AC152</f>
        <v>34.770000000000003</v>
      </c>
      <c r="P152" s="134">
        <v>1.5</v>
      </c>
      <c r="Q152" s="56">
        <v>1.5</v>
      </c>
      <c r="R152" s="134">
        <v>10.9</v>
      </c>
      <c r="S152" s="56">
        <v>10.9</v>
      </c>
      <c r="T152" s="134">
        <v>2.59</v>
      </c>
      <c r="U152" s="56">
        <v>2.59</v>
      </c>
      <c r="V152" s="134">
        <v>3.7</v>
      </c>
      <c r="W152" s="56">
        <v>3.69</v>
      </c>
      <c r="X152" s="134">
        <v>9</v>
      </c>
      <c r="Y152" s="56">
        <v>9</v>
      </c>
      <c r="Z152" s="134">
        <v>4.3600000000000003</v>
      </c>
      <c r="AA152" s="56">
        <v>4.3</v>
      </c>
      <c r="AB152" s="134">
        <v>2.79</v>
      </c>
      <c r="AC152" s="56">
        <v>2.79</v>
      </c>
      <c r="AD152" s="63"/>
      <c r="AE152" s="56"/>
    </row>
    <row r="153" spans="1:31" ht="22.5" customHeight="1">
      <c r="A153" s="132" t="s">
        <v>3</v>
      </c>
      <c r="B153" s="135" t="s">
        <v>11</v>
      </c>
      <c r="C153" s="136" t="s">
        <v>2</v>
      </c>
      <c r="D153" s="116">
        <v>50.3</v>
      </c>
      <c r="E153" s="63">
        <f>E154/E152*10</f>
        <v>48.864828496042215</v>
      </c>
      <c r="F153" s="63">
        <v>50</v>
      </c>
      <c r="G153" s="63">
        <v>45</v>
      </c>
      <c r="H153" s="63">
        <v>51.34</v>
      </c>
      <c r="I153" s="63">
        <v>49</v>
      </c>
      <c r="J153" s="63">
        <v>45</v>
      </c>
      <c r="K153" s="63">
        <v>49</v>
      </c>
      <c r="L153" s="63">
        <v>49</v>
      </c>
      <c r="M153" s="63">
        <v>47</v>
      </c>
      <c r="N153" s="175">
        <f>N154/N152*10</f>
        <v>49.164446039035596</v>
      </c>
      <c r="O153" s="63"/>
      <c r="P153" s="137">
        <v>45</v>
      </c>
      <c r="Q153" s="63"/>
      <c r="R153" s="137">
        <v>52</v>
      </c>
      <c r="S153" s="63"/>
      <c r="T153" s="137">
        <v>50</v>
      </c>
      <c r="U153" s="63"/>
      <c r="V153" s="137">
        <v>48</v>
      </c>
      <c r="W153" s="63"/>
      <c r="X153" s="137">
        <v>48</v>
      </c>
      <c r="Y153" s="63"/>
      <c r="Z153" s="137">
        <v>48</v>
      </c>
      <c r="AA153" s="63"/>
      <c r="AB153" s="137">
        <v>46.67</v>
      </c>
      <c r="AC153" s="63"/>
      <c r="AD153" s="63"/>
      <c r="AE153" s="63"/>
    </row>
    <row r="154" spans="1:31" ht="22.5" customHeight="1">
      <c r="A154" s="132" t="s">
        <v>3</v>
      </c>
      <c r="B154" s="135" t="s">
        <v>12</v>
      </c>
      <c r="C154" s="136" t="s">
        <v>36</v>
      </c>
      <c r="D154" s="116">
        <f>D153*D152/10</f>
        <v>171.01999999999998</v>
      </c>
      <c r="E154" s="63">
        <v>166.67793</v>
      </c>
      <c r="F154" s="63">
        <f>G154+H154+I154+J154+K154+L154+M154</f>
        <v>170.28960000000001</v>
      </c>
      <c r="G154" s="63">
        <f t="shared" ref="G154:M154" si="407">G153*G152/10</f>
        <v>6.75</v>
      </c>
      <c r="H154" s="63">
        <f t="shared" si="407"/>
        <v>55.960600000000014</v>
      </c>
      <c r="I154" s="63">
        <f t="shared" si="407"/>
        <v>12.690999999999999</v>
      </c>
      <c r="J154" s="63">
        <f t="shared" si="407"/>
        <v>16.605</v>
      </c>
      <c r="K154" s="63">
        <f t="shared" si="407"/>
        <v>44.1</v>
      </c>
      <c r="L154" s="63">
        <f t="shared" si="407"/>
        <v>21.07</v>
      </c>
      <c r="M154" s="63">
        <f t="shared" si="407"/>
        <v>13.113</v>
      </c>
      <c r="N154" s="160">
        <f t="shared" ref="N154:N157" si="408">P154+R154+T154+V154+X154+Z154+AB154</f>
        <v>171.28893000000002</v>
      </c>
      <c r="O154" s="63">
        <f>Q154+S154+U154+W154+Y154+AA154+AC154</f>
        <v>0</v>
      </c>
      <c r="P154" s="137">
        <f t="shared" ref="P154" si="409">P153*P152/10</f>
        <v>6.75</v>
      </c>
      <c r="Q154" s="63">
        <f t="shared" ref="Q154:R154" si="410">Q153*Q152/10</f>
        <v>0</v>
      </c>
      <c r="R154" s="137">
        <f t="shared" si="410"/>
        <v>56.680000000000007</v>
      </c>
      <c r="S154" s="63">
        <f t="shared" ref="S154:T154" si="411">S153*S152/10</f>
        <v>0</v>
      </c>
      <c r="T154" s="137">
        <f t="shared" si="411"/>
        <v>12.95</v>
      </c>
      <c r="U154" s="63">
        <f t="shared" ref="U154:V154" si="412">U153*U152/10</f>
        <v>0</v>
      </c>
      <c r="V154" s="137">
        <f t="shared" si="412"/>
        <v>17.760000000000002</v>
      </c>
      <c r="W154" s="63">
        <f t="shared" ref="W154:X154" si="413">W153*W152/10</f>
        <v>0</v>
      </c>
      <c r="X154" s="137">
        <f t="shared" si="413"/>
        <v>43.2</v>
      </c>
      <c r="Y154" s="63">
        <f t="shared" ref="Y154:Z154" si="414">Y153*Y152/10</f>
        <v>0</v>
      </c>
      <c r="Z154" s="137">
        <f t="shared" si="414"/>
        <v>20.928000000000004</v>
      </c>
      <c r="AA154" s="63">
        <f t="shared" ref="AA154:AB154" si="415">AA153*AA152/10</f>
        <v>0</v>
      </c>
      <c r="AB154" s="137">
        <f t="shared" si="415"/>
        <v>13.020930000000002</v>
      </c>
      <c r="AC154" s="63">
        <f t="shared" ref="AC154" si="416">AC153*AC152/10</f>
        <v>0</v>
      </c>
      <c r="AD154" s="63"/>
      <c r="AE154" s="63"/>
    </row>
    <row r="155" spans="1:31" s="12" customFormat="1" ht="22.5" customHeight="1">
      <c r="A155" s="126">
        <v>2</v>
      </c>
      <c r="B155" s="127" t="s">
        <v>81</v>
      </c>
      <c r="C155" s="128" t="s">
        <v>1</v>
      </c>
      <c r="D155" s="108">
        <v>27</v>
      </c>
      <c r="E155" s="56">
        <v>27.060000000000002</v>
      </c>
      <c r="F155" s="56">
        <f>G155+H155+I155+J155+K155+L155+M155</f>
        <v>27.060000000000002</v>
      </c>
      <c r="G155" s="56">
        <v>0</v>
      </c>
      <c r="H155" s="56">
        <v>3</v>
      </c>
      <c r="I155" s="56">
        <v>2</v>
      </c>
      <c r="J155" s="56">
        <v>1.26</v>
      </c>
      <c r="K155" s="56">
        <v>1</v>
      </c>
      <c r="L155" s="56">
        <v>0</v>
      </c>
      <c r="M155" s="56">
        <v>19.8</v>
      </c>
      <c r="N155" s="160">
        <f t="shared" si="408"/>
        <v>27.060000000000002</v>
      </c>
      <c r="O155" s="56">
        <f>Q155+S155+U155+W155+Y155+AA155+AC155</f>
        <v>27.060000000000002</v>
      </c>
      <c r="P155" s="138">
        <v>0</v>
      </c>
      <c r="Q155" s="56">
        <v>0</v>
      </c>
      <c r="R155" s="138">
        <v>3</v>
      </c>
      <c r="S155" s="56">
        <v>3</v>
      </c>
      <c r="T155" s="138">
        <v>2</v>
      </c>
      <c r="U155" s="56">
        <v>2</v>
      </c>
      <c r="V155" s="138">
        <v>1.26</v>
      </c>
      <c r="W155" s="56">
        <v>1.26</v>
      </c>
      <c r="X155" s="138">
        <v>1</v>
      </c>
      <c r="Y155" s="56">
        <v>1</v>
      </c>
      <c r="Z155" s="138">
        <v>0</v>
      </c>
      <c r="AA155" s="56">
        <v>0</v>
      </c>
      <c r="AB155" s="138">
        <v>19.8</v>
      </c>
      <c r="AC155" s="56">
        <v>19.8</v>
      </c>
      <c r="AD155" s="63"/>
      <c r="AE155" s="56"/>
    </row>
    <row r="156" spans="1:31" ht="22.5" customHeight="1">
      <c r="A156" s="132" t="s">
        <v>3</v>
      </c>
      <c r="B156" s="135" t="s">
        <v>11</v>
      </c>
      <c r="C156" s="136" t="s">
        <v>2</v>
      </c>
      <c r="D156" s="139">
        <v>3</v>
      </c>
      <c r="E156" s="63">
        <f>E157/E155*10</f>
        <v>3.1309682187730967</v>
      </c>
      <c r="F156" s="56">
        <v>3</v>
      </c>
      <c r="G156" s="63">
        <v>0</v>
      </c>
      <c r="H156" s="63">
        <v>4</v>
      </c>
      <c r="I156" s="63">
        <v>3</v>
      </c>
      <c r="J156" s="63">
        <v>7</v>
      </c>
      <c r="K156" s="63">
        <v>4</v>
      </c>
      <c r="L156" s="63">
        <v>3</v>
      </c>
      <c r="M156" s="63">
        <v>3</v>
      </c>
      <c r="N156" s="175">
        <f>N157/N155*10</f>
        <v>3.4870657797487064</v>
      </c>
      <c r="O156" s="56"/>
      <c r="P156" s="137">
        <v>0</v>
      </c>
      <c r="Q156" s="63"/>
      <c r="R156" s="137">
        <v>2.5</v>
      </c>
      <c r="S156" s="63"/>
      <c r="T156" s="137">
        <v>3.5</v>
      </c>
      <c r="U156" s="63"/>
      <c r="V156" s="137">
        <v>6</v>
      </c>
      <c r="W156" s="63"/>
      <c r="X156" s="137">
        <v>3</v>
      </c>
      <c r="Y156" s="63"/>
      <c r="Z156" s="137">
        <v>3</v>
      </c>
      <c r="AA156" s="63"/>
      <c r="AB156" s="137">
        <v>3.5</v>
      </c>
      <c r="AC156" s="63"/>
      <c r="AD156" s="63"/>
      <c r="AE156" s="63"/>
    </row>
    <row r="157" spans="1:31" ht="22.5" customHeight="1">
      <c r="A157" s="132" t="s">
        <v>3</v>
      </c>
      <c r="B157" s="135" t="s">
        <v>12</v>
      </c>
      <c r="C157" s="136" t="s">
        <v>36</v>
      </c>
      <c r="D157" s="139">
        <f>D156*D155/10</f>
        <v>8.1</v>
      </c>
      <c r="E157" s="63">
        <v>8.4724000000000004</v>
      </c>
      <c r="F157" s="140">
        <f>F156*F155/10</f>
        <v>8.1180000000000003</v>
      </c>
      <c r="G157" s="63">
        <f t="shared" ref="G157:M157" si="417">G156*G155/10</f>
        <v>0</v>
      </c>
      <c r="H157" s="63">
        <f t="shared" si="417"/>
        <v>1.2</v>
      </c>
      <c r="I157" s="63">
        <f t="shared" si="417"/>
        <v>0.6</v>
      </c>
      <c r="J157" s="63">
        <f t="shared" si="417"/>
        <v>0.88200000000000001</v>
      </c>
      <c r="K157" s="63">
        <f t="shared" si="417"/>
        <v>0.4</v>
      </c>
      <c r="L157" s="63">
        <f t="shared" si="417"/>
        <v>0</v>
      </c>
      <c r="M157" s="63">
        <f t="shared" si="417"/>
        <v>5.94</v>
      </c>
      <c r="N157" s="160">
        <f t="shared" si="408"/>
        <v>9.4359999999999999</v>
      </c>
      <c r="O157" s="140">
        <f>O156*O155/10</f>
        <v>0</v>
      </c>
      <c r="P157" s="137">
        <f t="shared" ref="P157" si="418">P156*P155/10</f>
        <v>0</v>
      </c>
      <c r="Q157" s="63">
        <f t="shared" ref="Q157:R157" si="419">Q156*Q155/10</f>
        <v>0</v>
      </c>
      <c r="R157" s="137">
        <f t="shared" si="419"/>
        <v>0.75</v>
      </c>
      <c r="S157" s="63">
        <f t="shared" ref="S157:T157" si="420">S156*S155/10</f>
        <v>0</v>
      </c>
      <c r="T157" s="137">
        <f t="shared" si="420"/>
        <v>0.7</v>
      </c>
      <c r="U157" s="63">
        <f t="shared" ref="U157:V157" si="421">U156*U155/10</f>
        <v>0</v>
      </c>
      <c r="V157" s="137">
        <f t="shared" si="421"/>
        <v>0.75600000000000001</v>
      </c>
      <c r="W157" s="63">
        <f t="shared" ref="W157:X157" si="422">W156*W155/10</f>
        <v>0</v>
      </c>
      <c r="X157" s="137">
        <f t="shared" si="422"/>
        <v>0.3</v>
      </c>
      <c r="Y157" s="63">
        <f t="shared" ref="Y157:Z157" si="423">Y156*Y155/10</f>
        <v>0</v>
      </c>
      <c r="Z157" s="137">
        <f t="shared" si="423"/>
        <v>0</v>
      </c>
      <c r="AA157" s="63">
        <f t="shared" ref="AA157:AB157" si="424">AA156*AA155/10</f>
        <v>0</v>
      </c>
      <c r="AB157" s="137">
        <f t="shared" si="424"/>
        <v>6.93</v>
      </c>
      <c r="AC157" s="63">
        <f t="shared" ref="AC157" si="425">AC156*AC155/10</f>
        <v>0</v>
      </c>
      <c r="AD157" s="63"/>
      <c r="AE157" s="63"/>
    </row>
    <row r="158" spans="1:31" s="12" customFormat="1" ht="22.5" customHeight="1">
      <c r="A158" s="141" t="s">
        <v>30</v>
      </c>
      <c r="B158" s="142" t="s">
        <v>128</v>
      </c>
      <c r="C158" s="143" t="s">
        <v>36</v>
      </c>
      <c r="D158" s="144">
        <v>12</v>
      </c>
      <c r="E158" s="145">
        <v>11</v>
      </c>
      <c r="F158" s="145">
        <f>SUM(G158:M158)</f>
        <v>11</v>
      </c>
      <c r="G158" s="145">
        <v>1.5</v>
      </c>
      <c r="H158" s="145">
        <v>2</v>
      </c>
      <c r="I158" s="145">
        <v>1.5</v>
      </c>
      <c r="J158" s="145">
        <v>1.5</v>
      </c>
      <c r="K158" s="145">
        <v>1.5</v>
      </c>
      <c r="L158" s="145">
        <v>1.5</v>
      </c>
      <c r="M158" s="145">
        <v>1.5</v>
      </c>
      <c r="N158" s="162">
        <f t="shared" ref="N158" si="426">P158+R158+T158+V158+X158+Z158+AB158</f>
        <v>12</v>
      </c>
      <c r="O158" s="146">
        <f>Q158+S158+U158+W158+Y158+AA158+AC158</f>
        <v>3.1999999999999997</v>
      </c>
      <c r="P158" s="147">
        <v>1.5</v>
      </c>
      <c r="Q158" s="146">
        <f>1.5-1</f>
        <v>0.5</v>
      </c>
      <c r="R158" s="147">
        <v>2</v>
      </c>
      <c r="S158" s="146">
        <f>2-1.6</f>
        <v>0.39999999999999991</v>
      </c>
      <c r="T158" s="147">
        <v>1.5</v>
      </c>
      <c r="U158" s="146">
        <f>T158-1</f>
        <v>0.5</v>
      </c>
      <c r="V158" s="147">
        <v>2</v>
      </c>
      <c r="W158" s="146">
        <f>V158-1.6</f>
        <v>0.39999999999999991</v>
      </c>
      <c r="X158" s="147">
        <v>2</v>
      </c>
      <c r="Y158" s="146">
        <f>X158-1.4</f>
        <v>0.60000000000000009</v>
      </c>
      <c r="Z158" s="147">
        <v>1.5</v>
      </c>
      <c r="AA158" s="146">
        <f>Z158-1.1</f>
        <v>0.39999999999999991</v>
      </c>
      <c r="AB158" s="147">
        <v>1.5</v>
      </c>
      <c r="AC158" s="146">
        <f>AB158-1.1</f>
        <v>0.39999999999999991</v>
      </c>
      <c r="AD158" s="146"/>
      <c r="AE158" s="145"/>
    </row>
  </sheetData>
  <mergeCells count="15">
    <mergeCell ref="Q4:AC4"/>
    <mergeCell ref="N4:N5"/>
    <mergeCell ref="AE4:AE5"/>
    <mergeCell ref="AD4:AD5"/>
    <mergeCell ref="A1:AE1"/>
    <mergeCell ref="A2:AE2"/>
    <mergeCell ref="G4:M4"/>
    <mergeCell ref="O4:O5"/>
    <mergeCell ref="A3:O3"/>
    <mergeCell ref="A4:A5"/>
    <mergeCell ref="B4:B5"/>
    <mergeCell ref="C4:C5"/>
    <mergeCell ref="D4:D5"/>
    <mergeCell ref="E4:E5"/>
    <mergeCell ref="F4:F5"/>
  </mergeCells>
  <pageMargins left="0.24" right="0.16" top="0.25" bottom="0.23" header="0.16" footer="0.17"/>
  <pageSetup scale="98" orientation="landscape" r:id="rId1"/>
  <headerFooter alignWithMargins="0"/>
  <ignoredErrors>
    <ignoredError sqref="N57:O57 O62 O66 N99:O99 O97 O98:AB98 O107 Q107:S107 U107 W107 Y107 AA107 N94:O94 N87 N82:O82 N71:O71 Q72 R72:S72 T72:U72 V72:W72 Y72 AA72 Q13 N118 Q77:R77 N25 P25 R25 U37 W37 O37 Q17:AC17 N17 O18 N40:O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6"/>
  <sheetViews>
    <sheetView showFormulas="1" workbookViewId="0">
      <selection activeCell="C1" sqref="C1"/>
    </sheetView>
  </sheetViews>
  <sheetFormatPr defaultColWidth="9.140625" defaultRowHeight="12.75"/>
  <cols>
    <col min="1" max="1" width="29.85546875" style="2" customWidth="1"/>
    <col min="2" max="2" width="1.140625" style="2" customWidth="1"/>
    <col min="3" max="3" width="32.28515625" style="2" customWidth="1"/>
    <col min="4" max="16384" width="9.140625" style="2"/>
  </cols>
  <sheetData>
    <row r="1" spans="1:3" ht="13.5">
      <c r="A1" s="1" t="s">
        <v>70</v>
      </c>
    </row>
    <row r="2" spans="1:3" ht="14.25" thickBot="1">
      <c r="A2" s="1" t="s">
        <v>62</v>
      </c>
    </row>
    <row r="3" spans="1:3" ht="13.5" thickBot="1">
      <c r="A3" s="3" t="s">
        <v>58</v>
      </c>
      <c r="C3" s="4" t="s">
        <v>47</v>
      </c>
    </row>
    <row r="4" spans="1:3">
      <c r="A4" s="3">
        <v>3</v>
      </c>
    </row>
    <row r="6" spans="1:3" ht="13.5" thickBot="1"/>
    <row r="7" spans="1:3">
      <c r="A7" s="5" t="s">
        <v>48</v>
      </c>
    </row>
    <row r="8" spans="1:3">
      <c r="A8" s="6" t="s">
        <v>49</v>
      </c>
    </row>
    <row r="9" spans="1:3">
      <c r="A9" s="7" t="s">
        <v>50</v>
      </c>
    </row>
    <row r="10" spans="1:3">
      <c r="A10" s="6" t="s">
        <v>51</v>
      </c>
    </row>
    <row r="11" spans="1:3" ht="13.5" thickBot="1">
      <c r="A11" s="8" t="s">
        <v>52</v>
      </c>
    </row>
    <row r="13" spans="1:3" ht="13.5" thickBot="1"/>
    <row r="14" spans="1:3" ht="13.5" thickBot="1">
      <c r="A14" s="4" t="s">
        <v>53</v>
      </c>
    </row>
    <row r="16" spans="1:3" ht="13.5" thickBot="1"/>
    <row r="17" spans="1:3" ht="13.5" thickBot="1">
      <c r="C17" s="4" t="s">
        <v>54</v>
      </c>
    </row>
    <row r="20" spans="1:3">
      <c r="A20" s="9" t="s">
        <v>55</v>
      </c>
    </row>
    <row r="26" spans="1:3" ht="13.5" thickBot="1">
      <c r="C26" s="10" t="s">
        <v>56</v>
      </c>
    </row>
  </sheetData>
  <sheetProtection password="8863" sheet="1" objects="1"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Phụ biểu Nông nghiệp</vt:lpstr>
      <vt:lpstr>zAVlCQg4</vt:lpstr>
      <vt:lpstr>_Builtin0</vt:lpstr>
      <vt:lpstr>Bust</vt:lpstr>
      <vt:lpstr>Continue</vt:lpstr>
      <vt:lpstr>Documents_array</vt:lpstr>
      <vt:lpstr>Hello</vt:lpstr>
      <vt:lpstr>'Phụ biểu Nông nghiệp'!Print_Titles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2024-03-15T02:47:52Z</cp:lastPrinted>
  <dcterms:created xsi:type="dcterms:W3CDTF">1996-10-14T23:33:28Z</dcterms:created>
  <dcterms:modified xsi:type="dcterms:W3CDTF">2024-04-22T07:37:44Z</dcterms:modified>
</cp:coreProperties>
</file>