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10" windowWidth="10680" windowHeight="4260" firstSheet="11" activeTab="12"/>
  </bookViews>
  <sheets>
    <sheet name="THÔNG TIN CHUNG" sheetId="1" r:id="rId1"/>
    <sheet name="DANH MỤC BIỂU" sheetId="2" r:id="rId2"/>
    <sheet name="Biểu 1 Thu chi ngân sách" sheetId="3" r:id="rId3"/>
    <sheet name="Biểu 2 Chi tiêu KTXH" sheetId="4" r:id="rId4"/>
    <sheet name="Biểu 3 Hộ nghèo" sheetId="5" r:id="rId5"/>
    <sheet name="Biểu 4 Dân số tạm trú" sheetId="6" r:id="rId6"/>
    <sheet name="Biểu 5 Nhà ở" sheetId="7" r:id="rId7"/>
    <sheet name="Biểu 6 Cơ cấu SDD" sheetId="8" r:id="rId8"/>
    <sheet name="Biểu 7 Cơ sở y tế" sheetId="9" r:id="rId9"/>
    <sheet name="Biểu 8 Cơ sở giáo dục" sheetId="10" r:id="rId10"/>
    <sheet name="Biểu 9 Ctrinh văn hóa" sheetId="11" r:id="rId11"/>
    <sheet name="Biểu 10 Ctrinh TMDV" sheetId="12" r:id="rId12"/>
    <sheet name="Biểu 11 Giao thông" sheetId="13" r:id="rId13"/>
    <sheet name="Biểu 12 Vận tải công cộng" sheetId="14" r:id="rId14"/>
    <sheet name="Biểu 13 Cấp điện" sheetId="15" r:id="rId15"/>
    <sheet name="Biểu 14 Cấp nước" sheetId="16" r:id="rId16"/>
    <sheet name="Biểu 15 Viễn thông" sheetId="17" r:id="rId17"/>
    <sheet name="Biểu 16 DV công trực tuyến" sheetId="18" r:id="rId18"/>
    <sheet name="Biểu 17 Chống ngập úng" sheetId="19" r:id="rId19"/>
    <sheet name="Biểu 18 Thu gom CTR" sheetId="20" r:id="rId20"/>
    <sheet name="Biểu 19 Nghĩa trang-Cây xanhĐT" sheetId="21" r:id="rId21"/>
    <sheet name="Biểu 20 KGCC-Kiến trúc TB" sheetId="22" r:id="rId22"/>
    <sheet name="Bảng tổng hợp (3)" sheetId="23" state="hidden" r:id="rId23"/>
    <sheet name="Bảng tổng hợp" sheetId="24" r:id="rId24"/>
    <sheet name="Sheet2" sheetId="25" r:id="rId25"/>
    <sheet name="Bảng tổng hợp (2)" sheetId="26" state="hidden" r:id="rId26"/>
  </sheets>
  <definedNames>
    <definedName name="_xlfn.BAHTTEXT" hidden="1">#NAME?</definedName>
    <definedName name="_xlfn.SINGLE" hidden="1">#NAME?</definedName>
    <definedName name="_xlnm.Print_Area" localSheetId="23">'Bảng tổng hợp'!$A$1:$I$161</definedName>
    <definedName name="_xlnm.Print_Area" localSheetId="25">'Bảng tổng hợp (2)'!$A$1:$I$161</definedName>
    <definedName name="_xlnm.Print_Area" localSheetId="22">'Bảng tổng hợp (3)'!$A$1:$I$138</definedName>
    <definedName name="_xlnm.Print_Area" localSheetId="2">'Biểu 1 Thu chi ngân sách'!$A$1:$E$48</definedName>
    <definedName name="_xlnm.Print_Area" localSheetId="13">'Biểu 12 Vận tải công cộng'!$A$1:$E$14</definedName>
    <definedName name="_xlnm.Print_Area" localSheetId="15">'Biểu 14 Cấp nước'!$A$1:$D$23</definedName>
    <definedName name="_xlnm.Print_Area" localSheetId="3">'Biểu 2 Chi tiêu KTXH'!$A$1:$F$21</definedName>
    <definedName name="_xlnm.Print_Area" localSheetId="4">'Biểu 3 Hộ nghèo'!$A$1:$E$25</definedName>
    <definedName name="_xlnm.Print_Area" localSheetId="5">'Biểu 4 Dân số tạm trú'!$A$1:$G$15</definedName>
    <definedName name="_xlnm.Print_Area" localSheetId="6">'Biểu 5 Nhà ở'!$A$1:$G$18</definedName>
    <definedName name="_xlnm.Print_Titles" localSheetId="23">'Bảng tổng hợp'!$5:$6</definedName>
    <definedName name="_xlnm.Print_Titles" localSheetId="25">'Bảng tổng hợp (2)'!$5:$6</definedName>
    <definedName name="_xlnm.Print_Titles" localSheetId="22">'Bảng tổng hợp (3)'!$5:$6</definedName>
  </definedNames>
  <calcPr fullCalcOnLoad="1"/>
</workbook>
</file>

<file path=xl/sharedStrings.xml><?xml version="1.0" encoding="utf-8"?>
<sst xmlns="http://schemas.openxmlformats.org/spreadsheetml/2006/main" count="1480" uniqueCount="624">
  <si>
    <t>Các chỉ tiêu đánh giá</t>
  </si>
  <si>
    <t>I</t>
  </si>
  <si>
    <t>Cân đối thu chi ngân sách</t>
  </si>
  <si>
    <t>II</t>
  </si>
  <si>
    <t>III</t>
  </si>
  <si>
    <t>Mật độ dân số đô thị</t>
  </si>
  <si>
    <t>IV</t>
  </si>
  <si>
    <t>Tỷ lệ lao động phi nông nghiệp</t>
  </si>
  <si>
    <t>V</t>
  </si>
  <si>
    <t>TT</t>
  </si>
  <si>
    <t>Đủ</t>
  </si>
  <si>
    <t>4.1</t>
  </si>
  <si>
    <t>3.1</t>
  </si>
  <si>
    <t>2.2</t>
  </si>
  <si>
    <t>2.1</t>
  </si>
  <si>
    <t>1.1</t>
  </si>
  <si>
    <t>4.3</t>
  </si>
  <si>
    <t>4.2</t>
  </si>
  <si>
    <t>3.4</t>
  </si>
  <si>
    <t>3.3</t>
  </si>
  <si>
    <t>3.2</t>
  </si>
  <si>
    <t>2.6</t>
  </si>
  <si>
    <t>2.5</t>
  </si>
  <si>
    <t>2.4</t>
  </si>
  <si>
    <t>2.3</t>
  </si>
  <si>
    <t>1.2</t>
  </si>
  <si>
    <t>A</t>
  </si>
  <si>
    <t>B</t>
  </si>
  <si>
    <t>Hiện trạng</t>
  </si>
  <si>
    <t>Điểm</t>
  </si>
  <si>
    <t>3</t>
  </si>
  <si>
    <t xml:space="preserve">Tổng điểm: </t>
  </si>
  <si>
    <t>1</t>
  </si>
  <si>
    <t>4</t>
  </si>
  <si>
    <t>Vị trí, chức năng, vai trò, cơ cấu 
và trình độ phát triển kinh tế - xã hội</t>
  </si>
  <si>
    <t>Vị trí, chức năng, vai trò</t>
  </si>
  <si>
    <t>Cơ cấu và trình độ phát triển kinh tế - xã hội</t>
  </si>
  <si>
    <t>Mức tăng trưởng kinh tế 
trung bình 3 năm gần nhất (%)</t>
  </si>
  <si>
    <t xml:space="preserve">Quy mô dân số </t>
  </si>
  <si>
    <t>2</t>
  </si>
  <si>
    <t>4,5-6,0</t>
  </si>
  <si>
    <t>6,0-8,0</t>
  </si>
  <si>
    <t>45-60</t>
  </si>
  <si>
    <t>Các tiêu chuẩn về hạ tầng xã hội</t>
  </si>
  <si>
    <t>Các tiêu chuẩn về nhà ở</t>
  </si>
  <si>
    <t>1.1.1</t>
  </si>
  <si>
    <t>1.1.2</t>
  </si>
  <si>
    <t>Các tiêu chuẩn về công trình công cộng</t>
  </si>
  <si>
    <t>1.2.1</t>
  </si>
  <si>
    <t>1.2.2</t>
  </si>
  <si>
    <t>1.2.3</t>
  </si>
  <si>
    <t>1.2.4</t>
  </si>
  <si>
    <t>Cơ sở giáo dục, đào tạo cấp đô thị (cơ sở)</t>
  </si>
  <si>
    <t>Công trình văn hóa cấp đô thị (công trình)</t>
  </si>
  <si>
    <t>Công trình thể dục, thể thao cấp đô thị (công trình)</t>
  </si>
  <si>
    <t>Công trình thương mại, dịch vụ cấp đô thị (công trình)</t>
  </si>
  <si>
    <t>1.2.5</t>
  </si>
  <si>
    <t>1.2.6</t>
  </si>
  <si>
    <t>1.2.7</t>
  </si>
  <si>
    <t>1.2.8</t>
  </si>
  <si>
    <t>Các tiêu chuẩn về hạ tầng kỹ thuật</t>
  </si>
  <si>
    <t>10,5-14</t>
  </si>
  <si>
    <t>Tiêu chuẩn về giao thông</t>
  </si>
  <si>
    <t>2.1.1</t>
  </si>
  <si>
    <t>Tỷ lệ vận tải hành khách công cộng (%)</t>
  </si>
  <si>
    <t>2.1.2</t>
  </si>
  <si>
    <t>2.1.3</t>
  </si>
  <si>
    <t>2.1.4</t>
  </si>
  <si>
    <t>2.1.5</t>
  </si>
  <si>
    <t>2.2.1</t>
  </si>
  <si>
    <t>2,25-3,0</t>
  </si>
  <si>
    <t>2.2.2</t>
  </si>
  <si>
    <t>2.2.3</t>
  </si>
  <si>
    <t>Các tiêu chuẩn về cấp nước</t>
  </si>
  <si>
    <t>2.3.1</t>
  </si>
  <si>
    <t>2.3.2</t>
  </si>
  <si>
    <t>Các tiêu chuẩn về hệ thống viễn thông</t>
  </si>
  <si>
    <t>2.4.2</t>
  </si>
  <si>
    <t>1,5-2,0</t>
  </si>
  <si>
    <t>10,5-14,0</t>
  </si>
  <si>
    <t>3.1.1</t>
  </si>
  <si>
    <t>3.1.2</t>
  </si>
  <si>
    <t>Các tiêu chuẩn về thu gom, xử lý nước thải, chất thải</t>
  </si>
  <si>
    <t>3.2.1</t>
  </si>
  <si>
    <t>Tỷ lệ chất thải rắn sinh hoạt được thu gom (%)</t>
  </si>
  <si>
    <t>3.2.3</t>
  </si>
  <si>
    <t>3.2.4</t>
  </si>
  <si>
    <t>3,75-5,0</t>
  </si>
  <si>
    <t>3.3.1</t>
  </si>
  <si>
    <t>3.3.2</t>
  </si>
  <si>
    <t>Nhà tang lễ (cơ sở)</t>
  </si>
  <si>
    <t>Tỷ lệ sử dụng hình thức hỏa táng (%)</t>
  </si>
  <si>
    <t>Các tiêu chuẩn về cây xanh đô thị</t>
  </si>
  <si>
    <t>3,0-4,0</t>
  </si>
  <si>
    <t>3.4.1</t>
  </si>
  <si>
    <t>3.4.2</t>
  </si>
  <si>
    <t>Các tiêu chuẩn về kiến trúc, cảnh quan đô thị</t>
  </si>
  <si>
    <t>7,5-10,0</t>
  </si>
  <si>
    <t>4.4</t>
  </si>
  <si>
    <t>4.5</t>
  </si>
  <si>
    <t>75÷100</t>
  </si>
  <si>
    <t>Số lượng không gian công cộng của đô thị (khu)</t>
  </si>
  <si>
    <r>
      <t>Các tiêu chuẩn về cấp điện và chiếu sáng công</t>
    </r>
    <r>
      <rPr>
        <sz val="12"/>
        <rFont val="Times New Roman"/>
        <family val="1"/>
      </rPr>
      <t xml:space="preserve"> </t>
    </r>
    <r>
      <rPr>
        <b/>
        <sz val="12"/>
        <rFont val="Times New Roman"/>
        <family val="1"/>
      </rPr>
      <t>cộng</t>
    </r>
  </si>
  <si>
    <t>Là trung tâm hành chính hoặc trung tâm tổng hợp cấp huyện hoặc trung tâm chuyên ngành cấp huyện về kinh tế, văn hóa, giáo dục, đào tạo, y tế, đầu mối giao thông, có vai trò thúc đẩy sự phát triển kinh tế - xã hội của huyện.</t>
  </si>
  <si>
    <t>Tiêu chuẩn đô thị loại V</t>
  </si>
  <si>
    <t>Thang điểm</t>
  </si>
  <si>
    <t>Tiêu chuẩn chung</t>
  </si>
  <si>
    <r>
      <t>Mật độ dân số toàn đô thị (người/km</t>
    </r>
    <r>
      <rPr>
        <vertAlign val="superscript"/>
        <sz val="12"/>
        <rFont val="Times New Roman"/>
        <family val="1"/>
      </rPr>
      <t>2</t>
    </r>
    <r>
      <rPr>
        <sz val="12"/>
        <rFont val="Times New Roman"/>
        <family val="1"/>
      </rPr>
      <t>)</t>
    </r>
  </si>
  <si>
    <r>
      <t>Đất xây dựng các công trình công cộng cấp đơn vị ở (m</t>
    </r>
    <r>
      <rPr>
        <vertAlign val="superscript"/>
        <sz val="12"/>
        <rFont val="Times New Roman"/>
        <family val="1"/>
      </rPr>
      <t>2</t>
    </r>
    <r>
      <rPr>
        <sz val="12"/>
        <rFont val="Times New Roman"/>
        <family val="1"/>
      </rPr>
      <t>/người)</t>
    </r>
  </si>
  <si>
    <t>≥50</t>
  </si>
  <si>
    <r>
      <t>Mật độ đường cống thoát nước chính (km/km</t>
    </r>
    <r>
      <rPr>
        <vertAlign val="superscript"/>
        <sz val="12"/>
        <rFont val="Times New Roman"/>
        <family val="1"/>
      </rPr>
      <t>2</t>
    </r>
    <r>
      <rPr>
        <sz val="12"/>
        <rFont val="Times New Roman"/>
        <family val="1"/>
      </rPr>
      <t>)</t>
    </r>
  </si>
  <si>
    <t>Nhóm tiêu chuẩn về trình độ phát triển cơ sở hạ tầng và kiến trúc, cảnh quan khu vực ngoại thị (*)</t>
  </si>
  <si>
    <t>V.A</t>
  </si>
  <si>
    <t>V.B</t>
  </si>
  <si>
    <t>Hiện trạng đến năm 2022</t>
  </si>
  <si>
    <t>Dư</t>
  </si>
  <si>
    <t>13,5-18,0</t>
  </si>
  <si>
    <t xml:space="preserve"> ≥ 0,7</t>
  </si>
  <si>
    <t>Thu nhập bình quân đầu người/tháng
so với trung bình cả nước (lần)</t>
  </si>
  <si>
    <t xml:space="preserve">Tăng vượt so với mục tiêu đề ra từ 4% trở lên </t>
  </si>
  <si>
    <t>Tăng theo mục tiêu đề ra</t>
  </si>
  <si>
    <t xml:space="preserve">Là trung tâm chuyên ngành cấp huyện về kinh tế, văn hóa, giáo dục, đào tạo, y tế, đầu mối giao thông, có vai trò thúc đẩy sự phát triển kinh tế - xã hội của một cụm liên xã. </t>
  </si>
  <si>
    <t>≥ 7,0</t>
  </si>
  <si>
    <t>Tỷ lệ hộ nghèo theo chuẩn nghèo đa chiều (%)</t>
  </si>
  <si>
    <t>≤ 5,0</t>
  </si>
  <si>
    <t>Tỷ lệ tăng dân số(%)</t>
  </si>
  <si>
    <t>≥ 1,2</t>
  </si>
  <si>
    <t>0,75</t>
  </si>
  <si>
    <t>≥ 1200</t>
  </si>
  <si>
    <t>≥ 4000</t>
  </si>
  <si>
    <t>Nhóm các tiêu chuẩn về trình độ phát triển cơ sở hạ tầng và kiến trúc, cảnh quan khu vực nội thành, nội thị</t>
  </si>
  <si>
    <r>
      <t>Diện tích sàn nhà ở bình quân đầu người (m</t>
    </r>
    <r>
      <rPr>
        <vertAlign val="superscript"/>
        <sz val="12"/>
        <rFont val="Times New Roman"/>
        <family val="1"/>
      </rPr>
      <t>2</t>
    </r>
    <r>
      <rPr>
        <sz val="12"/>
        <rFont val="Times New Roman"/>
        <family val="1"/>
      </rPr>
      <t>sàn/người)</t>
    </r>
  </si>
  <si>
    <t>≥28</t>
  </si>
  <si>
    <r>
      <t>Tỷ lệ nhà ở kiên cố (</t>
    </r>
    <r>
      <rPr>
        <i/>
        <sz val="12"/>
        <rFont val="Times New Roman"/>
        <family val="1"/>
      </rPr>
      <t>%</t>
    </r>
    <r>
      <rPr>
        <sz val="12"/>
        <rFont val="Times New Roman"/>
        <family val="1"/>
      </rPr>
      <t>)</t>
    </r>
  </si>
  <si>
    <t>≥90</t>
  </si>
  <si>
    <r>
      <t>Đất dân dụng bình quân đầu người (m</t>
    </r>
    <r>
      <rPr>
        <vertAlign val="superscript"/>
        <sz val="12"/>
        <rFont val="Times New Roman"/>
        <family val="1"/>
      </rPr>
      <t>2</t>
    </r>
    <r>
      <rPr>
        <sz val="12"/>
        <rFont val="Times New Roman"/>
        <family val="1"/>
      </rPr>
      <t>/người)</t>
    </r>
  </si>
  <si>
    <r>
      <t>Đất xây dựng các công trình dịch vụ - công cộng đô thị bình quân đầu người (m</t>
    </r>
    <r>
      <rPr>
        <vertAlign val="superscript"/>
        <sz val="12"/>
        <rFont val="Times New Roman"/>
        <family val="1"/>
      </rPr>
      <t>2</t>
    </r>
    <r>
      <rPr>
        <sz val="12"/>
        <rFont val="Times New Roman"/>
        <family val="1"/>
      </rPr>
      <t>/người)</t>
    </r>
  </si>
  <si>
    <t>≥3,5</t>
  </si>
  <si>
    <t xml:space="preserve"> ≥1,5</t>
  </si>
  <si>
    <t>≥30</t>
  </si>
  <si>
    <t>≥2</t>
  </si>
  <si>
    <t>Công trình giao thông đầu mối (cảng biển, cảng hàng không, cảng đường thủy nội địa, ga đường sắt, bến xe ô tô) (cấp)</t>
  </si>
  <si>
    <t>Vùng liên huyện</t>
  </si>
  <si>
    <t xml:space="preserve"> Huyện</t>
  </si>
  <si>
    <t>Tỷ lệ đất giao thông so với đất xây dựng đô thị (%)</t>
  </si>
  <si>
    <t>≥16</t>
  </si>
  <si>
    <t>≥6</t>
  </si>
  <si>
    <r>
      <t>Diện tích đất giao thông bình quân đầu người (m</t>
    </r>
    <r>
      <rPr>
        <vertAlign val="superscript"/>
        <sz val="12"/>
        <rFont val="Times New Roman"/>
        <family val="1"/>
      </rPr>
      <t>2</t>
    </r>
    <r>
      <rPr>
        <sz val="12"/>
        <rFont val="Times New Roman"/>
        <family val="1"/>
      </rPr>
      <t>/người)</t>
    </r>
  </si>
  <si>
    <t>≥7</t>
  </si>
  <si>
    <t>Cấp điện sinh hoạt bình quân đầu người (kwh/người/năm)</t>
  </si>
  <si>
    <t>≥1000</t>
  </si>
  <si>
    <t>Tỷ lệ đường phố được chiếu sáng (%)</t>
  </si>
  <si>
    <t>Tỷ lệ ngõ, ngách, hẻm được chiếu sáng (%)</t>
  </si>
  <si>
    <t>≥100</t>
  </si>
  <si>
    <t>≥70</t>
  </si>
  <si>
    <t>Tỷ lệ dân số đô thị được cấp nước sạch qua hệ thống cấp nước tập trung và được sử dụng nguồn nước hợp vệ sinh (%)</t>
  </si>
  <si>
    <t>≥95</t>
  </si>
  <si>
    <t>≥80</t>
  </si>
  <si>
    <t>2.4.3</t>
  </si>
  <si>
    <t>Tỷ lệ hộ gia đình có kết nối cáp quang (%)</t>
  </si>
  <si>
    <t>2.4.1</t>
  </si>
  <si>
    <t>Tỷ lệ hồ sơ thủ tục hành chính được xử lý qua dịch vụ công trực tuyến toàn trình (%)</t>
  </si>
  <si>
    <t>Các tiêu chuẩn về vệ sinh môi trường</t>
  </si>
  <si>
    <t>Các tiêu chuẩn về hệ thống thoát nước và chống ngập úng</t>
  </si>
  <si>
    <t>≥3</t>
  </si>
  <si>
    <t>Tỷ lệ các điểm ngập úng có giải pháp phòng, chống, khắc phục (%)</t>
  </si>
  <si>
    <t>≥20</t>
  </si>
  <si>
    <t xml:space="preserve">Tỷ lệ nước thải đô thị được xử lý đạt quy chuẩn kỹ thuật (%) </t>
  </si>
  <si>
    <t>≥15</t>
  </si>
  <si>
    <t>Tỷ lệ chất thải nguy hại được thu gom, xử lý đáp ứng yêu cầu bảo vệ môi trường (%)</t>
  </si>
  <si>
    <t>≥85</t>
  </si>
  <si>
    <t>Tỷ lệ chất thải rắn sinh hoạt được xử lý đáp ứng yêu cầu bảo vệ môi trường(%)</t>
  </si>
  <si>
    <t>≥65</t>
  </si>
  <si>
    <t>Các tiêu chuẩn về nhà tang lễ và hỏa táng</t>
  </si>
  <si>
    <t>≥10</t>
  </si>
  <si>
    <t>3.3.3</t>
  </si>
  <si>
    <t>Đô thị có nghĩa trang tập trung được đầu tư xây dựng theo quy hoạch hoặc có khu vực dự trữ dự kiến để xây dựng nghĩa trang</t>
  </si>
  <si>
    <r>
      <t>Đất cây xanh toàn đô thị bình quân đầu người (m</t>
    </r>
    <r>
      <rPr>
        <vertAlign val="superscript"/>
        <sz val="12"/>
        <rFont val="Times New Roman"/>
        <family val="1"/>
      </rPr>
      <t>2</t>
    </r>
    <r>
      <rPr>
        <sz val="12"/>
        <rFont val="Times New Roman"/>
        <family val="1"/>
      </rPr>
      <t>/người)</t>
    </r>
  </si>
  <si>
    <t>≥8</t>
  </si>
  <si>
    <r>
      <t>Đất cây xanh công cộng khu vực nội thành, nội thị quân đầu người (m</t>
    </r>
    <r>
      <rPr>
        <vertAlign val="superscript"/>
        <sz val="12"/>
        <rFont val="Times New Roman"/>
        <family val="1"/>
      </rPr>
      <t>2</t>
    </r>
    <r>
      <rPr>
        <sz val="12"/>
        <rFont val="Times New Roman"/>
        <family val="1"/>
      </rPr>
      <t>/người)</t>
    </r>
  </si>
  <si>
    <t>≥4</t>
  </si>
  <si>
    <t>100% các phường, thị trấn đã thực hiện tốt quy chế</t>
  </si>
  <si>
    <t>70% các phường, thị trấn đã thực hiện tốt quy chế</t>
  </si>
  <si>
    <t>49% các phường, thị trấn đã thực hiện tốt quy chế</t>
  </si>
  <si>
    <t>Tỷ lệ tuyến phố văn minh đô thị tính (%)</t>
  </si>
  <si>
    <t>Số lượng dự án cải tạo, chỉnh trang đô thị, chung cư cũ, cải tạo môi trường đô thị ứng phó biến đổi khí hậu đã có chủ trương đầu tư hoặc đã và đang triển khai thực hiện (dự án)</t>
  </si>
  <si>
    <t>Có 01 công trình là di tích cấp quốc gia đặc biệt</t>
  </si>
  <si>
    <t>Có 01 công trình là di tích cấp quốc gia hoặc cấp tỉnh hoặc công trình kiến trúc loại I hoặc loại II được cơ quan có thẩm
quyền công nhận</t>
  </si>
  <si>
    <t>4.6</t>
  </si>
  <si>
    <t>Công trình xanh (công trình)</t>
  </si>
  <si>
    <t>Công trình kiến trúc tiêu biểu (công trình)</t>
  </si>
  <si>
    <t>Có 02 công trình xanh trở lên đã được cấp giấy chứng nhận</t>
  </si>
  <si>
    <t>Có 01 công trình xanh đã được cấp giấy chứng nhận</t>
  </si>
  <si>
    <t>Khu chức năng đô thị, khu đô thị mới được quy hoạch, thiết kế theo mô hình xanh, ứng dụng công nghệ cao, thông minh (khu)</t>
  </si>
  <si>
    <t>4.7</t>
  </si>
  <si>
    <r>
      <t xml:space="preserve">(*)  </t>
    </r>
    <r>
      <rPr>
        <sz val="13"/>
        <color indexed="8"/>
        <rFont val="Times New Roman"/>
        <family val="1"/>
      </rPr>
      <t xml:space="preserve"> - Khu vực Trung tâm huyện lỵ Kon Rẫy đang lập Đề án phân loại và công nhận đô thị để công nhận đô thị loại V không có khu vực ngoại thị. </t>
    </r>
  </si>
  <si>
    <t>Không có</t>
  </si>
  <si>
    <t xml:space="preserve">Là trung tâm tổng hợp hoặc trung tâm hành chính cấp huyện về kinh tế, tài chính, văn hóa, giáo dục, đào tào, y tế, du lịch, khoa học và công nghệ, đầu mối giao thông, có vai trò thúc đẩy sự phát triển KT-XH của huyện </t>
  </si>
  <si>
    <t>Trình độ phát triển cơ sở hạ tầng và kiến trúc, cảnh quan đô thị</t>
  </si>
  <si>
    <t>Số thuê bao băng rộng di động trên 100 dân 
(Số thuê bao/100 dân)</t>
  </si>
  <si>
    <t>CỘNG HOÀ XÃ HỘI CHỦ NGHĨA VIỆT NAM</t>
  </si>
  <si>
    <t>Độc lập - Tự do - Hạnh phúc</t>
  </si>
  <si>
    <t>Chỉ tiêu</t>
  </si>
  <si>
    <t>Đơn vị tính</t>
  </si>
  <si>
    <t>Năm 2020</t>
  </si>
  <si>
    <t>Năm 2021</t>
  </si>
  <si>
    <t>Thu nhập bình quân đầu người</t>
  </si>
  <si>
    <t>%</t>
  </si>
  <si>
    <t>Dân số trung bình</t>
  </si>
  <si>
    <t>Người</t>
  </si>
  <si>
    <t>Tỷ lệ tăng dân số</t>
  </si>
  <si>
    <t>‰</t>
  </si>
  <si>
    <t>5.1</t>
  </si>
  <si>
    <t>Tỷ lệ tăng dân số tự nhiên</t>
  </si>
  <si>
    <t>5.2</t>
  </si>
  <si>
    <t>Tỷ lệ tăng dân số cơ học</t>
  </si>
  <si>
    <t>CHI CỤC THỐNG KÊ KHU VỰC 
KON PLONG - KON RẪY</t>
  </si>
  <si>
    <t>TÊN</t>
  </si>
  <si>
    <t>PHÒNG KINH TẾ - HẠ TẦNG</t>
  </si>
  <si>
    <t>PHÒNG TÀI CHÍNH - KẾ HOẠCH</t>
  </si>
  <si>
    <t>PHÒNG NÔNG NGHIỆP &amp; PHÁT TRIỂN NÔNG THÔN</t>
  </si>
  <si>
    <t>PHÒNG NỘI VỤ</t>
  </si>
  <si>
    <t>PHÒNG LAO ĐỘNG - THƯƠNG BINH &amp; XÃ HỘI</t>
  </si>
  <si>
    <t>PHÒNG GIÁO DỤC &amp; ĐÀO TẠO</t>
  </si>
  <si>
    <t>PHÒNG VĂN HÓA - THÔNG TIN</t>
  </si>
  <si>
    <t>TRUNG TÂM MÔI TRƯỜNG VÀ DỊCH VỤ ĐÔ THỊ</t>
  </si>
  <si>
    <t>BAN QLĐT &amp; XÂY DỰNG HUYỆN</t>
  </si>
  <si>
    <t>VĂN PHÒNG HĐND-UBND</t>
  </si>
  <si>
    <t>Năm 2022</t>
  </si>
  <si>
    <t>Dân số toàn đô thị (1.000 người)</t>
  </si>
  <si>
    <t>Biểu 1</t>
  </si>
  <si>
    <t>Biểu 2</t>
  </si>
  <si>
    <t>Biểu 3</t>
  </si>
  <si>
    <t>CÔNG AN HUYỆN KON RẪY</t>
  </si>
  <si>
    <r>
      <t>Mật độ dân số tính trên diện tích đất xây dựng đô thị khu vực nội thành, nội thị, thị trấn(người/km</t>
    </r>
    <r>
      <rPr>
        <vertAlign val="superscript"/>
        <sz val="12"/>
        <rFont val="Times New Roman"/>
        <family val="1"/>
      </rPr>
      <t>2</t>
    </r>
    <r>
      <rPr>
        <sz val="12"/>
        <rFont val="Times New Roman"/>
        <family val="1"/>
      </rPr>
      <t>)</t>
    </r>
  </si>
  <si>
    <t>- Tỷ lệ lao động phi nông nghiệp toàn đô thị (%)</t>
  </si>
  <si>
    <t>Biểu 5</t>
  </si>
  <si>
    <t>PHÒNG Y TẾ</t>
  </si>
  <si>
    <t>Biểu 6</t>
  </si>
  <si>
    <t>Biểu 7</t>
  </si>
  <si>
    <t>Biểu 8</t>
  </si>
  <si>
    <t>Biểu 9</t>
  </si>
  <si>
    <t>Biểu 10</t>
  </si>
  <si>
    <t>Biểu 11</t>
  </si>
  <si>
    <t>ĐIỆN LỰC KON RẪY</t>
  </si>
  <si>
    <t>Biểu 13</t>
  </si>
  <si>
    <t>Kon Rẫy, ngày …. tháng …. năm 202..</t>
  </si>
  <si>
    <t xml:space="preserve"> TT</t>
  </si>
  <si>
    <t>TÊN KHOẢN</t>
  </si>
  <si>
    <t>Thu khác ngân sách</t>
  </si>
  <si>
    <t>2.7</t>
  </si>
  <si>
    <t>2.10</t>
  </si>
  <si>
    <t>2.11</t>
  </si>
  <si>
    <t>TỔNG CHI NGÂN SÁCH TRÊN ĐỊA BÀN</t>
  </si>
  <si>
    <t>Chi thường xuyên</t>
  </si>
  <si>
    <t>Chi khác</t>
  </si>
  <si>
    <t>Chi đầu tư phát triển</t>
  </si>
  <si>
    <t>Chi đầu tư XDCB</t>
  </si>
  <si>
    <t>Đơn vị hành chính</t>
  </si>
  <si>
    <t>Xã Đăk Ruồng</t>
  </si>
  <si>
    <t>Thôn 8</t>
  </si>
  <si>
    <t>Thôn 9</t>
  </si>
  <si>
    <t>Thôn 10</t>
  </si>
  <si>
    <t>Xã Tân Lập</t>
  </si>
  <si>
    <t>Thôn 13</t>
  </si>
  <si>
    <t>Thôn 1</t>
  </si>
  <si>
    <t>Thôn 2</t>
  </si>
  <si>
    <t>Tổng số hộ</t>
  </si>
  <si>
    <t>Số hộ nghèo theo chuẩn đa chiều</t>
  </si>
  <si>
    <t>Tổng cộng</t>
  </si>
  <si>
    <t>BIỂU 3:TỔNG HỢP HỘ NGHÈO THEO CHUẨN ĐA CHIỀU TRÊN ĐỊA BÀN 
TRUNG TÂM HUYỆN LỴ KON RẪY NĂM 2022</t>
  </si>
  <si>
    <t>Tỷ lệ (%)</t>
  </si>
  <si>
    <t>Dân số tạm trú</t>
  </si>
  <si>
    <t>Số người</t>
  </si>
  <si>
    <t xml:space="preserve">Số ngày tạm trú bình quân </t>
  </si>
  <si>
    <t>Dân số quy đổi</t>
  </si>
  <si>
    <t>Công thức quy đổi</t>
  </si>
  <si>
    <t>BIỂU 4: DÂN SỐ TẠM TRÚ TRÊN ĐỊA BÀN 
TRUNG TÂM HUYỆN LỴ KON RẪY NĂM 2022</t>
  </si>
  <si>
    <t>Lao động tạm trú thường xuyên (trên 06 tháng)</t>
  </si>
  <si>
    <t>Tính vào thường trú</t>
  </si>
  <si>
    <t>Lực lượng công an không đăng ký thường trú tại gia đình (ước tính)</t>
  </si>
  <si>
    <t>Lực lượng quân đội không đăng ký thường trú tại gia đình (ước tính)</t>
  </si>
  <si>
    <t>Bệnh nhân ngoài đến khám chữa bệnh và người chăm sóc tại các cơ sở y tế</t>
  </si>
  <si>
    <t>Lượt người x2x số ngày tạm trú bình quân/365</t>
  </si>
  <si>
    <t>Tăng tỷ trọng công nghiệp, xây dựng và dịch vụ</t>
  </si>
  <si>
    <t>Mức tăng trưởng kinh tế</t>
  </si>
  <si>
    <t>PHÒNG TÀI NGUYÊN - MÔI TRƯỜNG</t>
  </si>
  <si>
    <t>Danh mục</t>
  </si>
  <si>
    <t xml:space="preserve">Số hộ có nhà ở kiên cố </t>
  </si>
  <si>
    <t>Tỷ lệ hộ có nhà ở kiên cố (%)</t>
  </si>
  <si>
    <t>Tổng diện tích sàn (m2)</t>
  </si>
  <si>
    <t>Diện tích sàn nhà ở bình quân đầu người (m2sàn/người)</t>
  </si>
  <si>
    <t>BIỂU 5: HIỆN TRẠNG NHÀ Ở TRÊN ĐỊA BÀN 
TRUNG TÂM HUYỆN LỴ KON RẪY NĂM 2022</t>
  </si>
  <si>
    <t>Loại đất</t>
  </si>
  <si>
    <t>Đất dân dụng</t>
  </si>
  <si>
    <t>Đất ở</t>
  </si>
  <si>
    <t>-</t>
  </si>
  <si>
    <t>Đất ngoài dân dụng</t>
  </si>
  <si>
    <t>ĐẤT XÂY DỰNG ĐÔ THỊ</t>
  </si>
  <si>
    <t>Đất cây xanh công cộng đô thị</t>
  </si>
  <si>
    <t>Đất di tích, tôn giáo</t>
  </si>
  <si>
    <t>DIỆN TÍCH ĐẤT TỰ NHIÊN TOÀN ĐÔ THỊ</t>
  </si>
  <si>
    <t>Diện tích (ha)</t>
  </si>
  <si>
    <t>Đất công trình dịch vụ - công cộng cấp đô thị</t>
  </si>
  <si>
    <t>ĐẤT KHÁC</t>
  </si>
  <si>
    <t>BIỂU 6: HIỆN TRẠNG CƠ CẤU SỬ DỤNG ĐẤT TRÊN ĐỊA BÀN 
TRUNG TÂM HUYỆN LỴ KON RẪY NĂM 2022</t>
  </si>
  <si>
    <t>Đất chưa sử dụng</t>
  </si>
  <si>
    <t>Đất mặt nước chuyên dùng</t>
  </si>
  <si>
    <t>Tên cơ sở y tế</t>
  </si>
  <si>
    <t>Quy mô giường bệnh</t>
  </si>
  <si>
    <t>Địa điểm</t>
  </si>
  <si>
    <t>Công trình y tế cấp đô thị</t>
  </si>
  <si>
    <t>Công trình y tế tuyến xã</t>
  </si>
  <si>
    <t>BIỂU 7: HỆ THỐNG CƠ SỞ Y TẾ TRÊN ĐỊA BÀN 
TRUNG TÂM HUYỆN LỴ KON RẪY NĂM 2022</t>
  </si>
  <si>
    <t>BIỂU 8: HỆ THỐNG CƠ SỞ GIÁO DỤC ĐÀO TẠO TRÊN ĐỊA BÀN 
TRUNG TÂM HUYỆN LỴ KON RẪY NĂM 2022</t>
  </si>
  <si>
    <t>Tên cơ sở giáo dục đào tạo</t>
  </si>
  <si>
    <t>Trường - điểm trường mầm non</t>
  </si>
  <si>
    <t>Trường - điểm trường tiểu học, trung học cơ sở</t>
  </si>
  <si>
    <t>…</t>
  </si>
  <si>
    <t>Trường - điểm trường trung học phổ thông</t>
  </si>
  <si>
    <t>Trường trung học chuyên nghiệp, trường nghề</t>
  </si>
  <si>
    <t>Tên công trình</t>
  </si>
  <si>
    <t>Siêu thị, trung tâm thương mại</t>
  </si>
  <si>
    <t>Công trình thương mại dịch vụ khác</t>
  </si>
  <si>
    <t>BIỂU 11: HỆ THỐNG GIAO THÔNG TRÊN ĐỊA BÀN 
TRUNG TÂM HUYỆN LỴ KON RẪY NĂM 2022</t>
  </si>
  <si>
    <t>Công trình giao thông đầu mối</t>
  </si>
  <si>
    <t>Công trình thương mại dịch vụ</t>
  </si>
  <si>
    <t>Tên đường</t>
  </si>
  <si>
    <t>Chiều rộng phần xe chạy (m)</t>
  </si>
  <si>
    <t>Lộ giới (m)</t>
  </si>
  <si>
    <t>Đường giao thông đối ngoại</t>
  </si>
  <si>
    <t>Quốc lộ 24</t>
  </si>
  <si>
    <t>Tỉnh lộ 677</t>
  </si>
  <si>
    <r>
      <t xml:space="preserve">Đất giao thông đối ngoại </t>
    </r>
    <r>
      <rPr>
        <i/>
        <sz val="12"/>
        <rFont val="Times New Roman"/>
        <family val="1"/>
      </rPr>
      <t>(Quốc lộ 24, tỉnh lộ 677)</t>
    </r>
  </si>
  <si>
    <t>Đường phố được chiếu sáng</t>
  </si>
  <si>
    <t>Tiêu chuẩn</t>
  </si>
  <si>
    <t>Đơn vị</t>
  </si>
  <si>
    <t>Tỷ lệ đường phố chính được chiếu sáng</t>
  </si>
  <si>
    <t xml:space="preserve">CÁC CHỈ TIÊU TỔNG HỢP </t>
  </si>
  <si>
    <t xml:space="preserve">Hiện trạng </t>
  </si>
  <si>
    <t>Tỷ lệ ngõ, ngách, hẻm được chiếu sáng</t>
  </si>
  <si>
    <t>Tỷ lệ đất giao thông so với đất xây dựng đô thị</t>
  </si>
  <si>
    <t>BIỂU 12: TỶ LỆ VẬN TẢI HÀNH KHÁCH CÔNG CỘNG TRÊN ĐỊA BÀN 
TRUNG TÂM HUYỆN LỴ KON RẪY NĂM 2022</t>
  </si>
  <si>
    <t>Hình thức phục vụ</t>
  </si>
  <si>
    <t>Xe khách (liên tỉnh, huyện)</t>
  </si>
  <si>
    <t>Xe buýt</t>
  </si>
  <si>
    <t>Taxi</t>
  </si>
  <si>
    <t>Tổng nhu cầu đi lại của người dân</t>
  </si>
  <si>
    <t>Hành khách sử dụng vận tải công cộng</t>
  </si>
  <si>
    <t>Lượt hành khách (lượt khách/năm)</t>
  </si>
  <si>
    <t>BIỂU 13: SẢN LƯỢNG ĐIỆN SINH HOẠT TIÊU THỤ TRÊN ĐỊA BÀN 
TRUNG TÂM HUYỆN LỴ KON RẪY NĂM 2022</t>
  </si>
  <si>
    <t>Điện năng tiêu thụ (kwh/năm)</t>
  </si>
  <si>
    <t>Biểu 12</t>
  </si>
  <si>
    <t>Số hộ sử dụng nước sạch 
qua hệ thống cấp nước tập trung (hộ)</t>
  </si>
  <si>
    <t>BIỂU 14: HIỆN TRẠNG CẤP NƯỚC SẠCH QUA HỆ THỐNG CẤP NƯỚC TẬP TRUNG TRÊN ĐỊA BÀN TRUNG TÂM HUYỆN LỴ KON RẪY NĂM 2022</t>
  </si>
  <si>
    <t>Biểu 14</t>
  </si>
  <si>
    <t>Biểu 15</t>
  </si>
  <si>
    <t>BIỂU 16</t>
  </si>
  <si>
    <t>BIỂU 15: TỔNG HỢP SỐ LIỆU VIỄN THÔNG TRÊN ĐỊA BÀN 
TRUNG TÂM HUYỆN LỴ KON RẪY NĂM 2022</t>
  </si>
  <si>
    <t>Số thuê bao Internet cáp quang (thuê bao)</t>
  </si>
  <si>
    <t>BIỂU 16: TỔNG HỢP DỊCH VỤ CÔNG TRỰC TUYẾN TRÊN ĐỊA BÀN 
TRUNG TÂM HUYỆN LỴ KON RẪY NĂM 2022</t>
  </si>
  <si>
    <t>Số lượng (thủ tục)</t>
  </si>
  <si>
    <t>Tổng số thủ tục hành chính</t>
  </si>
  <si>
    <t>Thủ tục hành chính chưa cung cấp dịch vụ công trực tuyến</t>
  </si>
  <si>
    <t>Thủ tục hành chính cung cấp dịch vụ công trực tuyến một phần</t>
  </si>
  <si>
    <t>Thủ tục hành chính cung cấp dịch vụ công trực tuyến toàn trình</t>
  </si>
  <si>
    <t>Biểu 17</t>
  </si>
  <si>
    <t>Mật độ đường cống thoát nước chính (km/km2)</t>
  </si>
  <si>
    <t>BIỂU 17: DANH MỤC CÁC DỰ ÁN GIẢM NGẬP ÚNG TRÊN ĐỊA BÀN 
TRUNG TÂM HUYỆN LỴ KON RẪY NĂM 2022</t>
  </si>
  <si>
    <t>Danh mục dự án</t>
  </si>
  <si>
    <t>Hiện trạng triển khai</t>
  </si>
  <si>
    <t>Biểu 18</t>
  </si>
  <si>
    <t xml:space="preserve">Địa điểm </t>
  </si>
  <si>
    <t>Quy chế quản lý kiến trúc đô thị hoặc quy chế quản lý quy hoạch kiến trúc đô thị (Quy chế)</t>
  </si>
  <si>
    <t>BIỂU 18: TỔNG HỢP CHẤT THẢI RẮN PHÂN LOẠI, THU GOM, XỬ LÝ TRÊN ĐỊA BÀN 
TRUNG TÂM HUYỆN LỴ KON RẪY NĂM 2022</t>
  </si>
  <si>
    <t>Khối lượng</t>
  </si>
  <si>
    <t>Chất thải nguy hại</t>
  </si>
  <si>
    <t>Chất thải rắn sinh hoạt</t>
  </si>
  <si>
    <t>Tấn/năm</t>
  </si>
  <si>
    <t>Tấn/ngày</t>
  </si>
  <si>
    <t>Tổng lượng chất thải nguy hại</t>
  </si>
  <si>
    <t>Lượng chất thải nguy hại được thu gom, xử lý đáp ứng yêu cầu bảo vệ môi trường</t>
  </si>
  <si>
    <t>Tổng lượng chất thải rắn sinh hoạt</t>
  </si>
  <si>
    <t>Lượng chất thải rắn sinh hoạt được thu gom</t>
  </si>
  <si>
    <t>Lượng chất thải rắn sinh hoạt được xử lý đáp ứng yêu cầu bảo vệ môi trường</t>
  </si>
  <si>
    <t>Biểu 19</t>
  </si>
  <si>
    <t>Biểu 20</t>
  </si>
  <si>
    <t>BIỂU 19: TỔNG HỢP HIỆN TRẠNG NGHĨA TRANG TẬP TRUNG &amp; CÂY XANH ĐÔ THỊ
 TRÊN ĐỊA BÀN TRUNG TÂM HUYỆN LỴ KON RẪY NĂM 2022</t>
  </si>
  <si>
    <t>Tên</t>
  </si>
  <si>
    <t xml:space="preserve"> NGHĨA TRANG TẬP TRUNG </t>
  </si>
  <si>
    <t>Khu vực dự trữ dự kiến để xây dựng nghĩa trang</t>
  </si>
  <si>
    <t>Nghĩa trang nhân dân</t>
  </si>
  <si>
    <t>Đồ án quy hoạch được duyệt</t>
  </si>
  <si>
    <t>Quyết định phê duyệt</t>
  </si>
  <si>
    <t>Cây xanh đường phố</t>
  </si>
  <si>
    <t>Đất cây xanh cách ly (hành lang đường điện 500kV)</t>
  </si>
  <si>
    <t>Tỷ lệ so với diện tích toàn đô thị (%)</t>
  </si>
  <si>
    <t>ĐẤT CÂY XANH ĐÔ THỊ</t>
  </si>
  <si>
    <t>Đất cây xanh sử dụng han chế</t>
  </si>
  <si>
    <t>Cây xanh khuôn viên công trình</t>
  </si>
  <si>
    <t>Đất cây xanh sử dụng công cộng</t>
  </si>
  <si>
    <t xml:space="preserve">Đất cây xanh chuyên dùng </t>
  </si>
  <si>
    <t>Phần diện tích cây xanh, thảm cỏ Quảng trường</t>
  </si>
  <si>
    <t>BIỂU 20: DANH MỤC KHÔNG GIAN CÔNG CỘNG &amp; CÔNG TRÌNH KIỀN TRÚC TIÊU BIỂU
 TRÊN ĐỊA BÀN TRUNG TÂM HUYỆN LỴ KON RẪY NĂM 2022</t>
  </si>
  <si>
    <t>KHÔNG GIAN CÔNG CỘNG</t>
  </si>
  <si>
    <t xml:space="preserve">Quảng trường </t>
  </si>
  <si>
    <t>CÔNG TRÌNH KIẾN TRÚC TIÊU BIỂU</t>
  </si>
  <si>
    <t>Xếp hạng</t>
  </si>
  <si>
    <t>DANH MỤC BIỂU HỒ SƠ ĐỀ ÁN PHÂN LOẠI VÀ CÔNG NHẬN ĐÔ THỊ LOẠI V KHU TRUNG TÂM HUYỆN LỴ KON RẪY</t>
  </si>
  <si>
    <t>Tên Biểu</t>
  </si>
  <si>
    <t>Cơ quan xác nhận</t>
  </si>
  <si>
    <t>BIEU 1 Thu chi ngan sach'!A1</t>
  </si>
  <si>
    <t>BIEU 2 Chi tieu KTXH'!A1</t>
  </si>
  <si>
    <t>Bieu 3 Ho ngheo'!A1</t>
  </si>
  <si>
    <t>Bieu 4 Dan so tam tru'!A1</t>
  </si>
  <si>
    <t>Bieu 5 Nha o'!A1</t>
  </si>
  <si>
    <t>Bieu 6 Co cau SDD'!A1</t>
  </si>
  <si>
    <t>Bieu 7 Co so y te'!A1</t>
  </si>
  <si>
    <t>Bieu 8 Co so giao duc'!A1</t>
  </si>
  <si>
    <t>Bieu 9 Ctrinh van hoa'!A1</t>
  </si>
  <si>
    <t>Bieu 10 Ctrinh TMDV'!A1</t>
  </si>
  <si>
    <t>Bieu 11 Giao thong'!A1</t>
  </si>
  <si>
    <t>Bieu 12 Van tai cong cong'!A1</t>
  </si>
  <si>
    <t>Bieu 13 Cap dien'!A1</t>
  </si>
  <si>
    <t>Bieu 14 Cap nuoc'!A1</t>
  </si>
  <si>
    <t>Bieu 15 Vien thong'!A1</t>
  </si>
  <si>
    <t>Bieu 16 Dich vu cong truc tuyen'!A1</t>
  </si>
  <si>
    <t>Bieu 17 Chống ngập úng'!A1</t>
  </si>
  <si>
    <t>Bieu 18 Thu gom CTR'!A1</t>
  </si>
  <si>
    <t>Bieu 19 Nghĩa trang-Cây xanhĐT'!A1</t>
  </si>
  <si>
    <t>Bieu 20 KGCC-Kiến trúc TB'!A1</t>
  </si>
  <si>
    <t>TONG HOP'!A1</t>
  </si>
  <si>
    <t>Biểu 4</t>
  </si>
  <si>
    <t>CÔNG SUẤT CÁC NHÀ MÁY VÀ TRẠM XỬ LÝ NƯỚC:</t>
  </si>
  <si>
    <t>Tên nhà máy - trạm xử lý nước</t>
  </si>
  <si>
    <t>Công suất trung bình năm 2022 (m3/ngày đêm)</t>
  </si>
  <si>
    <t>Không có điểm ngập úng</t>
  </si>
  <si>
    <t>3.2.2</t>
  </si>
  <si>
    <t>Không có trạm xử lý</t>
  </si>
  <si>
    <t>Tối thiểu</t>
  </si>
  <si>
    <r>
      <t xml:space="preserve">      </t>
    </r>
    <r>
      <rPr>
        <sz val="13"/>
        <color indexed="8"/>
        <rFont val="Times New Roman"/>
        <family val="1"/>
      </rPr>
      <t xml:space="preserve">  - Theo Nghị quyết 26/2022/UBTVQH15, ngày 15/10/2022 của Ủy ban thường vụ Quốc hội khóa 15, thì tại mục V.B, đối với đô thị không có khu vực ngoại thành, ngoại thị thì điểm của nhóm tiêu chuẩn trình độ phát triển cơ sở hạ tầng và kiến trúc, cảnh quan khu vực ngoại thành, ngoại thị được tính điểm tối đa là 10 điểm.</t>
    </r>
  </si>
  <si>
    <r>
      <t xml:space="preserve">TỔNG HỢP SO SÁNH HIỆN TRẠNG ĐÔ THỊ TRUNG TÂM HUYỆN LỴ KON RẪY ĐẾN NĂM 2022 
VỚI TIÊU CHÍ ĐÔ THỊ LOẠI V 
</t>
    </r>
    <r>
      <rPr>
        <b/>
        <i/>
        <sz val="10"/>
        <color indexed="8"/>
        <rFont val="Times New Roman"/>
        <family val="1"/>
      </rPr>
      <t xml:space="preserve">(THEO NGHỊ QUYẾT 1210/2016/UBTVQH13 NGÀY 25/5/2016 CỦA ỦY BAN THƯỜNG VỤ QUỐC HỘI; SỬA ĐỔI, BỔ SUNG TẠI NGHỊ QUYẾT SỐ 26/2022/UBTVQH15 NGÀY 21 THÁNG 9 NĂM 2022) </t>
    </r>
  </si>
  <si>
    <t>Không đạt</t>
  </si>
  <si>
    <t>Không xem xét, tính điểm tối đa</t>
  </si>
  <si>
    <t xml:space="preserve"> Tối đa</t>
  </si>
  <si>
    <t>Chưa có quy chế</t>
  </si>
  <si>
    <t>BẢNG TỔNG HỢP CHỈ TIÊU</t>
  </si>
  <si>
    <t>Tổng chỉ tiêu</t>
  </si>
  <si>
    <t>Số lượng công trình</t>
  </si>
  <si>
    <t>Số lượng cơ sở</t>
  </si>
  <si>
    <t>Trung tâm y tế huyện</t>
  </si>
  <si>
    <t xml:space="preserve">Đô thị loại V không xem xét, tính điểm tối thiểu </t>
  </si>
  <si>
    <t>Nguồn biểu dữ liệu</t>
  </si>
  <si>
    <t>3.3.5</t>
  </si>
  <si>
    <t>Đô thị có triển khai thực hiện hiệu quả phân loại chất thải rắn sinh hoạt tại nguồn</t>
  </si>
  <si>
    <t>Điểm cộng</t>
  </si>
  <si>
    <t>THU GOM, XỬ LÝ CHẤT THẢI RẮN PHÂN LOẠI</t>
  </si>
  <si>
    <t>PHÂN LOẠI CHẤT THẢI RẮN TẠI NGUỒN</t>
  </si>
  <si>
    <t>Địa bàn</t>
  </si>
  <si>
    <t>Thực hiện phân loại chất thải rắn sinh hoạt tại nguồn</t>
  </si>
  <si>
    <t>Có</t>
  </si>
  <si>
    <t>Không</t>
  </si>
  <si>
    <t>X</t>
  </si>
  <si>
    <t>Vùng Tây Nguyên, Miền núi, vùng cao</t>
  </si>
  <si>
    <t>Điện sinh hoạt</t>
  </si>
  <si>
    <t>C</t>
  </si>
  <si>
    <t>Điện chiếu sáng công cộng</t>
  </si>
  <si>
    <t>Điện khu vực cơ quan tổ chức</t>
  </si>
  <si>
    <t>Năm 2022 
(triệu đồng)</t>
  </si>
  <si>
    <t>Năm 2021 
(triệu đồng)</t>
  </si>
  <si>
    <t>Năm 2020
(triệu đồng)</t>
  </si>
  <si>
    <t>TỔNG THU NGÂN SÁCH NHÀ NƯỚC TRÊN ĐỊA BÀN</t>
  </si>
  <si>
    <t>Thu nội địa</t>
  </si>
  <si>
    <t>Thu viện trợ</t>
  </si>
  <si>
    <t>Thu kết dư</t>
  </si>
  <si>
    <t xml:space="preserve">III </t>
  </si>
  <si>
    <t>Tổng chi cân đối ngân sách huyện</t>
  </si>
  <si>
    <t>2.8</t>
  </si>
  <si>
    <t>2.9</t>
  </si>
  <si>
    <t>2.12</t>
  </si>
  <si>
    <t>Dự phòng ngân sách</t>
  </si>
  <si>
    <t>Chi từ nguồn bổ sung có mục tiêu từ ngân sách cấp tỉnh</t>
  </si>
  <si>
    <t>Chi giáo dục - đào tạo và dạy nghề</t>
  </si>
  <si>
    <t>Chi khoa học và công nghệ</t>
  </si>
  <si>
    <t>Chi y tế, dân số và gia đình</t>
  </si>
  <si>
    <t>Chi văn hóa thông tin</t>
  </si>
  <si>
    <t>Chi phát thanh truyền hình</t>
  </si>
  <si>
    <t>Chi thể dục thể thao</t>
  </si>
  <si>
    <t>Chi bảo vệ môi trường</t>
  </si>
  <si>
    <t>Chi hoạt động kinh tế</t>
  </si>
  <si>
    <t>Chi hoạt động của cơ quan quản lý hành chính, đảng, đoàn thể</t>
  </si>
  <si>
    <t>Chi an ninh quốc phòng</t>
  </si>
  <si>
    <t>Chi đảm bảo xã hội</t>
  </si>
  <si>
    <t>Thu từ các khu vực doanh nghiệp nhà nước</t>
  </si>
  <si>
    <t>Thu từ khu vực doanh nghiệp có vốn đầu từ nước ngoài</t>
  </si>
  <si>
    <t>Thu từ khu vực kinh tế ngoài quốc doanh</t>
  </si>
  <si>
    <t xml:space="preserve">Thuế thu nhập cá nhân </t>
  </si>
  <si>
    <t>Thuế bảo vệ môi trường</t>
  </si>
  <si>
    <t>Lệ phí trước bạ</t>
  </si>
  <si>
    <t>Thu phí, lệ phí</t>
  </si>
  <si>
    <t>Các khoản thu về nhà, đất</t>
  </si>
  <si>
    <t>Thu từ hoạt động xổ số kiến thiết</t>
  </si>
  <si>
    <t>Thu cấp tiền khai thác khoáng sản, tài nguyên khác</t>
  </si>
  <si>
    <t>Thu ngân sách huyện được hưởng theo phân cấp</t>
  </si>
  <si>
    <t>Tăng trưởng tổng giá trị sản phẩm trên địa bàn so với cả nước (lần)</t>
  </si>
  <si>
    <t>≥ 1,25</t>
  </si>
  <si>
    <t>Cơ sở y tế cấp đô thị bình quân trên 10.000 dân (giường/10.000 dân)</t>
  </si>
  <si>
    <t>BIỂU 1:  TỔNG HỢP THU CHI NGÂN SÁCH 
TRÊN ĐỊA BÀN TRUNG TÂM HUYỆN LỴ KON RẪY GIAI ĐOẠN 2020 - 2022</t>
  </si>
  <si>
    <t>BIỂU 2: TỔNG HỢP CHỈ TIÊU KINH TẾ XÃ HỘI
 TRUNG TÂM HUYỆN LỴ KON RẪY GIAI ĐOẠN 2020 - 2022</t>
  </si>
  <si>
    <t>BIỂU 9: HIỆN TRẠNG CÔNG TRÌNH VĂN HÓA, THỂ DỤC THỂ THAO 
TRÊN ĐỊA BÀN TRUNG TÂM HUYỆN LỴ KON RẪY NĂM 2022</t>
  </si>
  <si>
    <t>BIỂU 10: HIỆN TRẠNG CÔNG TRÌNH GIAO THÔNG ĐẦU MỐI,
CÔNG TRÌNH THƯƠNG MẠI DỊCH VỤ 
TRÊN ĐỊA BÀN TRUNG TÂM HUYỆN LỴ KON RẪY NĂM 2022</t>
  </si>
  <si>
    <t>UBND XÃ ĐĂK RUỒNG</t>
  </si>
  <si>
    <t>UBND XÃ TÂN LẬP</t>
  </si>
  <si>
    <r>
      <t xml:space="preserve">Di tích lịch sử cách mạng chiến thắng Kon Braih </t>
    </r>
    <r>
      <rPr>
        <i/>
        <sz val="12"/>
        <rFont val="Times New Roman"/>
        <family val="1"/>
      </rPr>
      <t>(di tích cấp tỉnh)</t>
    </r>
  </si>
  <si>
    <t>Chợ (cấp đô thị)</t>
  </si>
  <si>
    <t>Cửa hàng xăng dầu PVOil Kon Rẫy</t>
  </si>
  <si>
    <t>Quốc lộ 24, xã Tân Lập, huyện Kon Rẫy</t>
  </si>
  <si>
    <t>Đường A1 (trước kho bạc)</t>
  </si>
  <si>
    <t>Đường N1 (dọc sông)</t>
  </si>
  <si>
    <t>Đường N3</t>
  </si>
  <si>
    <t>Đường N4</t>
  </si>
  <si>
    <t>Đường N4 (sau UBND)</t>
  </si>
  <si>
    <t>Đường D1</t>
  </si>
  <si>
    <t>Đường D2</t>
  </si>
  <si>
    <t>Đường D3</t>
  </si>
  <si>
    <t>Đường D4</t>
  </si>
  <si>
    <t>Đường D5</t>
  </si>
  <si>
    <t>Đường giao thông khu vực</t>
  </si>
  <si>
    <t>Lý trình</t>
  </si>
  <si>
    <t>Điểm đầu</t>
  </si>
  <si>
    <t>Điểm cuối</t>
  </si>
  <si>
    <t>Mỏ cát thôn 1</t>
  </si>
  <si>
    <t>Trạm thủy văn</t>
  </si>
  <si>
    <t>Cầu KonBrai</t>
  </si>
  <si>
    <t>Ngân hàng CS</t>
  </si>
  <si>
    <t>Đường N1</t>
  </si>
  <si>
    <t>Đường A1</t>
  </si>
  <si>
    <t>Nhà văn hóa huyện Kon Rẫy</t>
  </si>
  <si>
    <t>Thôn 9, xã Đăk Ruồng, huyện Kon Rẫy</t>
  </si>
  <si>
    <t>Khu Trung tâm hành chính huyện Kon Rẫy</t>
  </si>
  <si>
    <t>Công trình thể dục, thể thao cấp đô thị</t>
  </si>
  <si>
    <t>Công trình văn hóa cấp đô thị</t>
  </si>
  <si>
    <t>Trường THCS Đăk Ruồng</t>
  </si>
  <si>
    <t>Trường tiểu học Lê Quý Đôn</t>
  </si>
  <si>
    <t>Trường mầm non Ánh Dương</t>
  </si>
  <si>
    <t>Điểm trường mầm non Tân Lập</t>
  </si>
  <si>
    <t>Trường THPT Chu Văn An</t>
  </si>
  <si>
    <r>
      <t>Trung tâm</t>
    </r>
    <r>
      <rPr>
        <sz val="11"/>
        <rFont val="Times New Roman"/>
        <family val="1"/>
      </rPr>
      <t> Giáo dục nghề nghiệp - Giáo dục thường xuyên huyện Kon Rẫy</t>
    </r>
  </si>
  <si>
    <t>Thôn 13, xã Đăk Ruồng, huyện Kon Rẫy, Kon Tum</t>
  </si>
  <si>
    <t>Trạm y tế xã Đăk Ruồng</t>
  </si>
  <si>
    <t>Quảng trường Kon Braih</t>
  </si>
  <si>
    <t>0</t>
  </si>
  <si>
    <t>Đất xây dựng trụ sở cơ quan đô thị</t>
  </si>
  <si>
    <t>Đất nhóm nhà ở</t>
  </si>
  <si>
    <t>Đất giao thông đô thị</t>
  </si>
  <si>
    <t>Đất xây dựng các công trình dịch vụ - công cộng cấp đơn vị ở</t>
  </si>
  <si>
    <t>Đất hạ tầng kỹ thuật khác</t>
  </si>
  <si>
    <t>Đất sản xuất nông nghiệp</t>
  </si>
  <si>
    <t>Đất lâm nghiệp</t>
  </si>
  <si>
    <t>Đất nuôi trồng thủy sản</t>
  </si>
  <si>
    <t>Đất nông lâm nghiệp</t>
  </si>
  <si>
    <t>Chiều dài cống thoát nước (m)</t>
  </si>
  <si>
    <t>Chiều dài tuyến (m)</t>
  </si>
  <si>
    <t>Chiều dài tuyến được chiếu sáng (m)</t>
  </si>
  <si>
    <t>Chiều dài tuyến không được chiếu sáng (m)</t>
  </si>
  <si>
    <t>Đường giao thông chính đô thị</t>
  </si>
  <si>
    <t>Trung bình</t>
  </si>
  <si>
    <t>Mật độ đường giao thông đô thị (tính đến đường có chiều rộng phần xe chạy ≥ 7,0m)</t>
  </si>
  <si>
    <t>(km/km2)</t>
  </si>
  <si>
    <r>
      <t>Mật độ đường giao thông đô thị (tính đến đường có chiều rộng phần xe chạy ≥ 7,0m) (km/km</t>
    </r>
    <r>
      <rPr>
        <vertAlign val="superscript"/>
        <sz val="12"/>
        <rFont val="Times New Roman"/>
        <family val="1"/>
      </rPr>
      <t>2</t>
    </r>
    <r>
      <rPr>
        <sz val="12"/>
        <rFont val="Times New Roman"/>
        <family val="1"/>
      </rPr>
      <t>)</t>
    </r>
  </si>
  <si>
    <t>Dân số được cấp nước sạch</t>
  </si>
  <si>
    <t>SỐ HỘ SỬ DỤNG NƯỚC SẠCH, HỢP VỆ SINH</t>
  </si>
  <si>
    <t>Lượng nước sạch sinh hoạt tiêu thụ (l/ngày đêm)</t>
  </si>
  <si>
    <t>Mức tiêu thụ nước sạch qua hệ thống cấp nước tập trung bình quân đầu người (lít/người/ngày.đêm)</t>
  </si>
  <si>
    <t>Di tích chiến thắng Kon Braih</t>
  </si>
  <si>
    <t>Cấp tỉnh</t>
  </si>
  <si>
    <t>7,5-10</t>
  </si>
  <si>
    <t>PHỤ LỤC II</t>
  </si>
  <si>
    <t>Thôn 1,2, xã Đăk Ruồng, huyện Kon Rẫy</t>
  </si>
  <si>
    <t>Đánh giá</t>
  </si>
  <si>
    <t>Số thuê bao băng rộng di động
(thuê bao)</t>
  </si>
  <si>
    <t>63 TTHC (cấp huyện 42 TTHC, cấp xã 21 TTHC)</t>
  </si>
  <si>
    <t>334 TTHC (cấp huyện 218 TTHC, cấp xã 101 TTHC, chung 3 cấp 25 TTHC)</t>
  </si>
  <si>
    <t>106 TTHC (cấp huyện 65 TTHC, cấp xã 41 TTHC)</t>
  </si>
  <si>
    <t>178 TTHC (cấp huyện 131 TTHC, cấp xã 47 TTHC)</t>
  </si>
  <si>
    <t>TRUNG TÂM Y TẾ</t>
  </si>
  <si>
    <r>
      <t xml:space="preserve">TỔNG HỢP SO SÁNH HIỆN TRẠNG ĐÔ THỊ TRUNG TÂM HUYỆN LỴ KON RẪY ĐẾN NĂM 2022 
VỚI TIÊU CHÍ ĐÔ THỊ LOẠI V 
</t>
    </r>
    <r>
      <rPr>
        <b/>
        <i/>
        <sz val="10"/>
        <rFont val="Times New Roman"/>
        <family val="1"/>
      </rPr>
      <t xml:space="preserve">(THEO NGHỊ QUYẾT 1210/2016/UBTVQH13 NGÀY 25/5/2016 CỦA ỦY BAN THƯỜNG VỤ QUỐC HỘI; SỬA ĐỔI, BỔ SUNG TẠI NGHỊ QUYẾT SỐ 26/2022/UBTVQH15 NGÀY 21 THÁNG 9 NĂM 2022) </t>
    </r>
  </si>
  <si>
    <t>Thôn 1 xã Tân lập</t>
  </si>
  <si>
    <t>Thôn 9 xã Đăk Ruồng</t>
  </si>
  <si>
    <t>203/QĐ-UBND</t>
  </si>
  <si>
    <t>Thôn 13, xã Đăk Ruồng</t>
  </si>
  <si>
    <t>QHC xây dựng TT thị trấn huyện lỵ Kon Rẫy</t>
  </si>
  <si>
    <t>QL 24</t>
  </si>
  <si>
    <t>Ranh quy hoạch</t>
  </si>
  <si>
    <t>Đường vào huyện đội</t>
  </si>
  <si>
    <t>Huyện đội</t>
  </si>
  <si>
    <t>Đường GĐ2 đang thi công</t>
  </si>
  <si>
    <t>QL 24 vào làng Kon S Kôi</t>
  </si>
  <si>
    <t>làng Kon S Kôi</t>
  </si>
  <si>
    <t>QL24 vào làng Kon Nhên</t>
  </si>
  <si>
    <t>làng Kon Nhên</t>
  </si>
  <si>
    <t>Đường vào trường cấp 2 Đăk Ruồng</t>
  </si>
  <si>
    <t>Đường từ huyện đội đi khu dân cư</t>
  </si>
  <si>
    <t>Đường từ QL 24 đi khu dân cư sau phòng khám cũ</t>
  </si>
  <si>
    <t>Đường vào trường THPT Chu Văn An</t>
  </si>
  <si>
    <t>Đường vào TT GDTX</t>
  </si>
  <si>
    <t>Đường vào khu dân cư cạnh trường cấp 3</t>
  </si>
  <si>
    <t>Đường khu dân cư thôn 13</t>
  </si>
  <si>
    <t>TL 677</t>
  </si>
  <si>
    <t>QL 24 vào thôn 2 Tân Lập</t>
  </si>
  <si>
    <t>QL 24 vào khu dân cư thôn 1</t>
  </si>
  <si>
    <t>Triệu đồng/năm</t>
  </si>
  <si>
    <t>Chưa có trạm xử lý</t>
  </si>
  <si>
    <t>Hội trường chung huyện Kon Rẫy</t>
  </si>
  <si>
    <t>Dân số khu vực nội thành, nội thị (1.000 người)</t>
  </si>
  <si>
    <t>Tỷ lệ lao động phi nông nghiệp toàn đô thị (%)</t>
  </si>
  <si>
    <t>Tỷ lệ lao động phi nông nghiệp khu vực nội thành, nội thị (%)</t>
  </si>
  <si>
    <t>UBND HUYỆN</t>
  </si>
  <si>
    <t xml:space="preserve">SỞ Y TẾ </t>
  </si>
  <si>
    <t>Đường N2</t>
  </si>
  <si>
    <t>Tổng chiều dài các tuyến giao thông đô thị</t>
  </si>
  <si>
    <t>km</t>
  </si>
  <si>
    <t>Diện tích giao thông  (m2)</t>
  </si>
  <si>
    <t>(*): Diện tích giao thông bao gồm diện tích mặt đường, lề đường, mương, vỉa hè (nếu có).</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</si>
</sst>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Rp&quot;#,##0_);\(&quot;Rp&quot;#,##0\)"/>
    <numFmt numFmtId="173" formatCode="&quot;Rp&quot;#,##0_);[Red]\(&quot;Rp&quot;#,##0\)"/>
    <numFmt numFmtId="174" formatCode="&quot;Rp&quot;#,##0.00_);\(&quot;Rp&quot;#,##0.00\)"/>
    <numFmt numFmtId="175" formatCode="&quot;Rp&quot;#,##0.00_);[Red]\(&quot;Rp&quot;#,##0.00\)"/>
    <numFmt numFmtId="176" formatCode="_(&quot;Rp&quot;* #,##0_);_(&quot;Rp&quot;* \(#,##0\);_(&quot;Rp&quot;* &quot;-&quot;_);_(@_)"/>
    <numFmt numFmtId="177" formatCode="_(&quot;Rp&quot;* #,##0.00_);_(&quot;Rp&quot;* \(#,##0.00\);_(&quot;Rp&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_(* #,##0.0_);_(* \(#,##0.0\);_(* &quot;-&quot;_);_(@_)"/>
    <numFmt numFmtId="183" formatCode="_(* #,##0.00_);_(* \(#,##0.00\);_(* &quot;-&quot;_);_(@_)"/>
    <numFmt numFmtId="184" formatCode="_(* #,##0.000_);_(* \(#,##0.000\);_(* &quot;-&quot;_);_(@_)"/>
    <numFmt numFmtId="185" formatCode="0.0"/>
    <numFmt numFmtId="186" formatCode="0.0%"/>
    <numFmt numFmtId="187" formatCode="_(* #,##0.0000_);_(* \(#,##0.0000\);_(* &quot;-&quot;_);_(@_)"/>
    <numFmt numFmtId="188" formatCode="_(* #,##0.000_);_(* \(#,##0.000\);_(* &quot;-&quot;??_);_(@_)"/>
    <numFmt numFmtId="189" formatCode="_(* #,##0.0_);_(* \(#,##0.0\);_(* &quot;-&quot;??_);_(@_)"/>
    <numFmt numFmtId="190" formatCode="_(* #,##0_);_(* \(#,##0\);_(* &quot;-&quot;??_);_(@_)"/>
    <numFmt numFmtId="191" formatCode="0.000"/>
    <numFmt numFmtId="192" formatCode="_(* #,##0.0000_);_(* \(#,##0.0000\);_(* &quot;-&quot;??_);_(@_)"/>
    <numFmt numFmtId="193" formatCode="_(* #,##0.00000_);_(* \(#,##0.00000\);_(* &quot;-&quot;??_);_(@_)"/>
    <numFmt numFmtId="194" formatCode="#,##0.000"/>
    <numFmt numFmtId="195" formatCode="[$-42A]dd\ mmmm\ yyyy"/>
    <numFmt numFmtId="196" formatCode="[$-42A]h:mm:ss\ AM/PM"/>
    <numFmt numFmtId="197" formatCode="#,##0.0000"/>
    <numFmt numFmtId="198" formatCode="#,##0.00000"/>
    <numFmt numFmtId="199" formatCode="#,##0.000000"/>
    <numFmt numFmtId="200" formatCode="0.0000"/>
    <numFmt numFmtId="201" formatCode="#,##0.0"/>
    <numFmt numFmtId="202" formatCode="_(* #,##0.00_);_(* \(#,##0.00\);_(* &quot;-&quot;&quot;?&quot;&quot;?&quot;_);_(@_)"/>
    <numFmt numFmtId="203" formatCode="_(* #,##0_);_(* \(#,##0\);_(* &quot;-&quot;&quot;?&quot;&quot;?&quot;_);_(@_)"/>
    <numFmt numFmtId="204" formatCode="0.0000000"/>
    <numFmt numFmtId="205" formatCode="0.000000"/>
    <numFmt numFmtId="206" formatCode="0.00000"/>
    <numFmt numFmtId="207" formatCode="_(* #,##0.0_);_(* \(#,##0.0\);_(* &quot;-&quot;&quot;?&quot;&quot;?&quot;_);_(@_)"/>
    <numFmt numFmtId="208" formatCode="_(* #,##0.000_);_(* \(#,##0.000\);_(* &quot;-&quot;&quot;?&quot;&quot;?&quot;_);_(@_)"/>
    <numFmt numFmtId="209" formatCode="[$-409]dddd\,\ mmmm\ d\,\ yyyy"/>
    <numFmt numFmtId="210" formatCode="[$-409]h:mm:ss\ AM/PM"/>
    <numFmt numFmtId="211" formatCode="0.00000000"/>
  </numFmts>
  <fonts count="93">
    <font>
      <sz val="14"/>
      <color indexed="8"/>
      <name val="Times New Roman"/>
      <family val="2"/>
    </font>
    <font>
      <b/>
      <sz val="14"/>
      <color indexed="8"/>
      <name val="Times New Roman"/>
      <family val="1"/>
    </font>
    <font>
      <sz val="8"/>
      <name val="Times New Roman"/>
      <family val="2"/>
    </font>
    <font>
      <b/>
      <sz val="13"/>
      <color indexed="8"/>
      <name val="Times New Roman"/>
      <family val="1"/>
    </font>
    <font>
      <sz val="13"/>
      <color indexed="8"/>
      <name val="Times New Roman"/>
      <family val="1"/>
    </font>
    <font>
      <sz val="14"/>
      <color indexed="10"/>
      <name val="Times New Roman"/>
      <family val="1"/>
    </font>
    <font>
      <sz val="12"/>
      <name val="Times New Roman"/>
      <family val="1"/>
    </font>
    <font>
      <sz val="14"/>
      <name val="Times New Roman"/>
      <family val="1"/>
    </font>
    <font>
      <sz val="11"/>
      <color indexed="8"/>
      <name val="Calibri"/>
      <family val="2"/>
    </font>
    <font>
      <sz val="14"/>
      <color indexed="30"/>
      <name val="Times New Roman"/>
      <family val="1"/>
    </font>
    <font>
      <b/>
      <sz val="12"/>
      <name val="Times New Roman"/>
      <family val="1"/>
    </font>
    <font>
      <u val="single"/>
      <sz val="14"/>
      <color indexed="20"/>
      <name val="Times New Roman"/>
      <family val="2"/>
    </font>
    <font>
      <u val="single"/>
      <sz val="14"/>
      <color indexed="12"/>
      <name val="Times New Roman"/>
      <family val="2"/>
    </font>
    <font>
      <i/>
      <sz val="12"/>
      <name val="Times New Roman"/>
      <family val="1"/>
    </font>
    <font>
      <vertAlign val="superscript"/>
      <sz val="12"/>
      <name val="Times New Roman"/>
      <family val="1"/>
    </font>
    <font>
      <sz val="13"/>
      <name val="Times New Roman"/>
      <family val="1"/>
    </font>
    <font>
      <b/>
      <sz val="13"/>
      <name val="Times New Roman"/>
      <family val="1"/>
    </font>
    <font>
      <b/>
      <sz val="12"/>
      <color indexed="8"/>
      <name val="Times New Roman"/>
      <family val="1"/>
    </font>
    <font>
      <i/>
      <sz val="13"/>
      <name val="Times New Roman"/>
      <family val="1"/>
    </font>
    <font>
      <sz val="10"/>
      <name val="Times New Roman"/>
      <family val="1"/>
    </font>
    <font>
      <b/>
      <sz val="10"/>
      <name val="Times New Roman"/>
      <family val="1"/>
    </font>
    <font>
      <b/>
      <sz val="14"/>
      <name val="Times New Roman"/>
      <family val="1"/>
    </font>
    <font>
      <b/>
      <sz val="11"/>
      <name val="Times New Roman"/>
      <family val="1"/>
    </font>
    <font>
      <sz val="11"/>
      <name val="Times New Roman"/>
      <family val="1"/>
    </font>
    <font>
      <sz val="12"/>
      <color indexed="8"/>
      <name val="Times New Roman"/>
      <family val="1"/>
    </font>
    <font>
      <sz val="10"/>
      <name val="Arial"/>
      <family val="2"/>
    </font>
    <font>
      <sz val="13"/>
      <name val=".VnTime"/>
      <family val="2"/>
    </font>
    <font>
      <b/>
      <i/>
      <sz val="10"/>
      <color indexed="8"/>
      <name val="Times New Roman"/>
      <family val="1"/>
    </font>
    <font>
      <b/>
      <sz val="12"/>
      <name val="Tiem"/>
      <family val="0"/>
    </font>
    <font>
      <sz val="25"/>
      <name val="Times New Roman"/>
      <family val="1"/>
    </font>
    <font>
      <i/>
      <u val="single"/>
      <sz val="14"/>
      <color indexed="12"/>
      <name val="Times New Roman"/>
      <family val="1"/>
    </font>
    <font>
      <i/>
      <sz val="10"/>
      <name val="Times New Roman"/>
      <family val="1"/>
    </font>
    <font>
      <i/>
      <sz val="14"/>
      <color indexed="8"/>
      <name val="Times New Roman"/>
      <family val="1"/>
    </font>
    <font>
      <sz val="11"/>
      <color indexed="8"/>
      <name val="Times New Roman"/>
      <family val="1"/>
    </font>
    <font>
      <b/>
      <i/>
      <sz val="10"/>
      <name val="Times New Roman"/>
      <family val="1"/>
    </font>
    <font>
      <b/>
      <i/>
      <sz val="12"/>
      <name val="Times New Roman"/>
      <family val="1"/>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sz val="11"/>
      <color indexed="8"/>
      <name val="Arial"/>
      <family val="2"/>
    </font>
    <font>
      <b/>
      <sz val="14"/>
      <color indexed="63"/>
      <name val="Times New Roman"/>
      <family val="2"/>
    </font>
    <font>
      <b/>
      <sz val="18"/>
      <color indexed="56"/>
      <name val="Times New Roman"/>
      <family val="2"/>
    </font>
    <font>
      <sz val="12"/>
      <color indexed="63"/>
      <name val="Times New Roman"/>
      <family val="1"/>
    </font>
    <font>
      <u val="single"/>
      <sz val="14"/>
      <color indexed="10"/>
      <name val="Times New Roman"/>
      <family val="2"/>
    </font>
    <font>
      <b/>
      <sz val="12"/>
      <color indexed="10"/>
      <name val="Times New Roman"/>
      <family val="1"/>
    </font>
    <font>
      <sz val="12"/>
      <color indexed="10"/>
      <name val="Times New Roman"/>
      <family val="1"/>
    </font>
    <font>
      <sz val="13"/>
      <color indexed="10"/>
      <name val=".VnTime"/>
      <family val="2"/>
    </font>
    <font>
      <b/>
      <sz val="13"/>
      <color indexed="10"/>
      <name val="Times New Roman"/>
      <family val="1"/>
    </font>
    <font>
      <sz val="13"/>
      <color indexed="10"/>
      <name val="Times New Roman"/>
      <family val="1"/>
    </font>
    <font>
      <i/>
      <sz val="12"/>
      <color indexed="10"/>
      <name val="Times New Roman"/>
      <family val="1"/>
    </font>
    <font>
      <i/>
      <sz val="12"/>
      <color indexed="8"/>
      <name val="Times New Roman"/>
      <family val="1"/>
    </font>
    <font>
      <b/>
      <sz val="14"/>
      <color indexed="10"/>
      <name val="Times New Roman"/>
      <family val="1"/>
    </font>
    <font>
      <sz val="14"/>
      <color theme="1"/>
      <name val="Times New Roman"/>
      <family val="2"/>
    </font>
    <font>
      <sz val="14"/>
      <color theme="0"/>
      <name val="Times New Roman"/>
      <family val="2"/>
    </font>
    <font>
      <sz val="14"/>
      <color rgb="FF9C0006"/>
      <name val="Times New Roman"/>
      <family val="2"/>
    </font>
    <font>
      <b/>
      <sz val="14"/>
      <color rgb="FFFA7D00"/>
      <name val="Times New Roman"/>
      <family val="2"/>
    </font>
    <font>
      <b/>
      <sz val="14"/>
      <color theme="0"/>
      <name val="Times New Roman"/>
      <family val="2"/>
    </font>
    <font>
      <i/>
      <sz val="14"/>
      <color rgb="FF7F7F7F"/>
      <name val="Times New Roman"/>
      <family val="2"/>
    </font>
    <font>
      <sz val="14"/>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4"/>
      <color rgb="FF3F3F76"/>
      <name val="Times New Roman"/>
      <family val="2"/>
    </font>
    <font>
      <sz val="14"/>
      <color rgb="FFFA7D00"/>
      <name val="Times New Roman"/>
      <family val="2"/>
    </font>
    <font>
      <sz val="14"/>
      <color rgb="FF9C6500"/>
      <name val="Times New Roman"/>
      <family val="2"/>
    </font>
    <font>
      <sz val="11"/>
      <color theme="1"/>
      <name val="Arial"/>
      <family val="2"/>
    </font>
    <font>
      <sz val="11"/>
      <color theme="1"/>
      <name val="Calibri"/>
      <family val="2"/>
    </font>
    <font>
      <b/>
      <sz val="14"/>
      <color rgb="FF3F3F3F"/>
      <name val="Times New Roman"/>
      <family val="2"/>
    </font>
    <font>
      <b/>
      <sz val="18"/>
      <color theme="3"/>
      <name val="Times New Roman"/>
      <family val="2"/>
    </font>
    <font>
      <b/>
      <sz val="14"/>
      <color theme="1"/>
      <name val="Times New Roman"/>
      <family val="2"/>
    </font>
    <font>
      <sz val="14"/>
      <color rgb="FFFF0000"/>
      <name val="Times New Roman"/>
      <family val="2"/>
    </font>
    <font>
      <sz val="12"/>
      <color rgb="FF333333"/>
      <name val="Times New Roman"/>
      <family val="1"/>
    </font>
    <font>
      <u val="single"/>
      <sz val="14"/>
      <color rgb="FFFF0000"/>
      <name val="Times New Roman"/>
      <family val="2"/>
    </font>
    <font>
      <b/>
      <sz val="12"/>
      <color rgb="FFFF0000"/>
      <name val="Times New Roman"/>
      <family val="1"/>
    </font>
    <font>
      <sz val="12"/>
      <color rgb="FFFF0000"/>
      <name val="Times New Roman"/>
      <family val="1"/>
    </font>
    <font>
      <sz val="13"/>
      <color rgb="FFFF0000"/>
      <name val=".VnTime"/>
      <family val="2"/>
    </font>
    <font>
      <b/>
      <sz val="13"/>
      <color rgb="FFFF0000"/>
      <name val="Times New Roman"/>
      <family val="1"/>
    </font>
    <font>
      <sz val="13"/>
      <color rgb="FFFF0000"/>
      <name val="Times New Roman"/>
      <family val="1"/>
    </font>
    <font>
      <i/>
      <sz val="12"/>
      <color rgb="FFFF0000"/>
      <name val="Times New Roman"/>
      <family val="1"/>
    </font>
    <font>
      <sz val="13"/>
      <color rgb="FF000000"/>
      <name val="Times New Roman"/>
      <family val="1"/>
    </font>
    <font>
      <b/>
      <sz val="12"/>
      <color rgb="FF000000"/>
      <name val="Times New Roman"/>
      <family val="1"/>
    </font>
    <font>
      <sz val="12"/>
      <color rgb="FF000000"/>
      <name val="Times New Roman"/>
      <family val="1"/>
    </font>
    <font>
      <i/>
      <sz val="12"/>
      <color rgb="FF000000"/>
      <name val="Times New Roman"/>
      <family val="1"/>
    </font>
    <font>
      <b/>
      <sz val="14"/>
      <color rgb="FFFF0000"/>
      <name val="Times New Roman"/>
      <family val="1"/>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
      <patternFill patternType="solid">
        <fgColor rgb="FFFFFF00"/>
        <bgColor indexed="64"/>
      </patternFill>
    </fill>
    <fill>
      <patternFill patternType="solid">
        <fgColor theme="0" tint="-0.1499900072813034"/>
        <bgColor indexed="64"/>
      </patternFill>
    </fill>
    <fill>
      <patternFill patternType="solid">
        <fgColor theme="6" tint="0.5999900102615356"/>
        <bgColor indexed="64"/>
      </patternFill>
    </fill>
    <fill>
      <patternFill patternType="solid">
        <fgColor theme="0" tint="-0.24997000396251678"/>
        <bgColor indexed="64"/>
      </patternFill>
    </fill>
    <fill>
      <patternFill patternType="solid">
        <fgColor theme="2" tint="-0.4999699890613556"/>
        <bgColor indexed="64"/>
      </patternFill>
    </fill>
    <fill>
      <patternFill patternType="solid">
        <fgColor theme="3" tint="0.599990010261535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0"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3" fillId="25" borderId="0" applyNumberFormat="0" applyBorder="0" applyAlignment="0" applyProtection="0"/>
    <xf numFmtId="0" fontId="64" fillId="26" borderId="1" applyNumberFormat="0" applyAlignment="0" applyProtection="0"/>
    <xf numFmtId="0" fontId="6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8" fillId="0" borderId="0" applyFont="0" applyFill="0" applyBorder="0" applyAlignment="0" applyProtection="0"/>
    <xf numFmtId="202" fontId="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11" fillId="0" borderId="0" applyNumberFormat="0" applyFill="0" applyBorder="0" applyAlignment="0" applyProtection="0"/>
    <xf numFmtId="0" fontId="67" fillId="28"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12" fillId="0" borderId="0" applyNumberFormat="0" applyFill="0" applyBorder="0" applyAlignment="0" applyProtection="0"/>
    <xf numFmtId="0" fontId="71" fillId="29" borderId="1" applyNumberFormat="0" applyAlignment="0" applyProtection="0"/>
    <xf numFmtId="0" fontId="72" fillId="0" borderId="6" applyNumberFormat="0" applyFill="0" applyAlignment="0" applyProtection="0"/>
    <xf numFmtId="0" fontId="73" fillId="30" borderId="0" applyNumberFormat="0" applyBorder="0" applyAlignment="0" applyProtection="0"/>
    <xf numFmtId="0" fontId="74" fillId="0" borderId="0">
      <alignment/>
      <protection/>
    </xf>
    <xf numFmtId="0" fontId="25" fillId="0" borderId="0">
      <alignment vertical="top"/>
      <protection/>
    </xf>
    <xf numFmtId="0" fontId="75" fillId="0" borderId="0">
      <alignment/>
      <protection/>
    </xf>
    <xf numFmtId="0" fontId="25" fillId="0" borderId="0">
      <alignment/>
      <protection/>
    </xf>
    <xf numFmtId="0" fontId="0" fillId="31" borderId="7" applyNumberFormat="0" applyFont="0" applyAlignment="0" applyProtection="0"/>
    <xf numFmtId="0" fontId="76" fillId="26"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615">
    <xf numFmtId="0" fontId="0" fillId="0" borderId="0" xfId="0" applyAlignment="1">
      <alignment/>
    </xf>
    <xf numFmtId="0" fontId="0" fillId="0" borderId="0" xfId="0" applyAlignment="1">
      <alignment vertical="center"/>
    </xf>
    <xf numFmtId="183" fontId="0" fillId="0" borderId="0" xfId="43" applyNumberFormat="1" applyFont="1" applyAlignment="1">
      <alignment horizontal="right" vertical="center"/>
    </xf>
    <xf numFmtId="49" fontId="0" fillId="0" borderId="0" xfId="0" applyNumberFormat="1" applyAlignment="1">
      <alignment/>
    </xf>
    <xf numFmtId="0" fontId="5" fillId="0" borderId="0" xfId="0" applyFont="1" applyAlignment="1">
      <alignment/>
    </xf>
    <xf numFmtId="49" fontId="3" fillId="0" borderId="0" xfId="0" applyNumberFormat="1" applyFont="1" applyBorder="1" applyAlignment="1">
      <alignment/>
    </xf>
    <xf numFmtId="2" fontId="3" fillId="0" borderId="0" xfId="0" applyNumberFormat="1" applyFont="1" applyBorder="1" applyAlignment="1">
      <alignment/>
    </xf>
    <xf numFmtId="49" fontId="6" fillId="0" borderId="10" xfId="0" applyNumberFormat="1" applyFont="1" applyFill="1" applyBorder="1" applyAlignment="1">
      <alignment horizontal="center" vertical="center"/>
    </xf>
    <xf numFmtId="0" fontId="0" fillId="0" borderId="0" xfId="0" applyFont="1" applyAlignment="1">
      <alignment/>
    </xf>
    <xf numFmtId="0" fontId="7" fillId="0" borderId="0" xfId="0" applyFont="1" applyAlignment="1">
      <alignment/>
    </xf>
    <xf numFmtId="0" fontId="7" fillId="0" borderId="0" xfId="0" applyFont="1" applyAlignment="1">
      <alignment/>
    </xf>
    <xf numFmtId="0" fontId="6" fillId="0" borderId="10" xfId="0" applyFont="1" applyBorder="1" applyAlignment="1">
      <alignment horizontal="center" vertical="center"/>
    </xf>
    <xf numFmtId="0" fontId="1" fillId="32" borderId="0" xfId="0" applyFont="1" applyFill="1" applyAlignment="1">
      <alignment/>
    </xf>
    <xf numFmtId="0" fontId="0" fillId="32" borderId="0" xfId="0" applyFill="1" applyAlignment="1">
      <alignment/>
    </xf>
    <xf numFmtId="0" fontId="1" fillId="33" borderId="0" xfId="0" applyFont="1" applyFill="1" applyAlignment="1">
      <alignment/>
    </xf>
    <xf numFmtId="0" fontId="0" fillId="0" borderId="0" xfId="0" applyAlignment="1">
      <alignment wrapText="1"/>
    </xf>
    <xf numFmtId="0" fontId="0" fillId="0" borderId="0" xfId="0" applyFont="1" applyBorder="1" applyAlignment="1">
      <alignment horizontal="center" vertical="center"/>
    </xf>
    <xf numFmtId="0" fontId="0" fillId="0" borderId="0" xfId="0" applyFont="1" applyBorder="1" applyAlignment="1">
      <alignment/>
    </xf>
    <xf numFmtId="0" fontId="0" fillId="0" borderId="0" xfId="0" applyFont="1" applyAlignment="1">
      <alignment/>
    </xf>
    <xf numFmtId="49" fontId="0" fillId="0" borderId="0" xfId="0" applyNumberFormat="1" applyFont="1" applyAlignment="1">
      <alignment/>
    </xf>
    <xf numFmtId="0" fontId="0" fillId="0" borderId="0" xfId="0" applyFont="1" applyAlignment="1">
      <alignment vertical="center"/>
    </xf>
    <xf numFmtId="183" fontId="0" fillId="0" borderId="0" xfId="43" applyNumberFormat="1" applyFont="1" applyAlignment="1">
      <alignment horizontal="right" vertical="center"/>
    </xf>
    <xf numFmtId="0" fontId="5" fillId="0" borderId="0" xfId="0" applyFont="1" applyAlignment="1">
      <alignment/>
    </xf>
    <xf numFmtId="0" fontId="9" fillId="0" borderId="0" xfId="0" applyFont="1" applyAlignment="1">
      <alignment/>
    </xf>
    <xf numFmtId="49" fontId="10" fillId="0" borderId="10" xfId="0" applyNumberFormat="1" applyFont="1" applyFill="1" applyBorder="1" applyAlignment="1">
      <alignment horizontal="center" vertical="center"/>
    </xf>
    <xf numFmtId="49" fontId="10" fillId="0" borderId="10" xfId="0" applyNumberFormat="1" applyFont="1" applyFill="1" applyBorder="1" applyAlignment="1">
      <alignment horizontal="left" vertical="center"/>
    </xf>
    <xf numFmtId="49" fontId="10" fillId="33" borderId="10" xfId="0" applyNumberFormat="1" applyFont="1" applyFill="1" applyBorder="1" applyAlignment="1">
      <alignment horizontal="center" vertical="center"/>
    </xf>
    <xf numFmtId="49" fontId="10" fillId="33" borderId="10" xfId="0" applyNumberFormat="1" applyFont="1" applyFill="1" applyBorder="1" applyAlignment="1">
      <alignment horizontal="left" vertical="center"/>
    </xf>
    <xf numFmtId="0" fontId="10" fillId="33" borderId="10" xfId="0" applyFont="1" applyFill="1" applyBorder="1" applyAlignment="1">
      <alignment/>
    </xf>
    <xf numFmtId="49" fontId="10" fillId="33" borderId="10" xfId="0" applyNumberFormat="1" applyFont="1" applyFill="1" applyBorder="1" applyAlignment="1">
      <alignment horizontal="left" vertical="center" wrapText="1"/>
    </xf>
    <xf numFmtId="0" fontId="6" fillId="33" borderId="10" xfId="0" applyFont="1" applyFill="1" applyBorder="1" applyAlignment="1">
      <alignment vertical="center"/>
    </xf>
    <xf numFmtId="0" fontId="6" fillId="0" borderId="10" xfId="0" applyFont="1" applyBorder="1" applyAlignment="1">
      <alignment vertical="center"/>
    </xf>
    <xf numFmtId="0" fontId="10" fillId="0" borderId="10" xfId="0" applyFont="1" applyBorder="1" applyAlignment="1">
      <alignment horizontal="left" vertical="center" wrapText="1"/>
    </xf>
    <xf numFmtId="0" fontId="10" fillId="0" borderId="10" xfId="0" applyFont="1" applyBorder="1" applyAlignment="1">
      <alignment/>
    </xf>
    <xf numFmtId="49" fontId="10" fillId="4" borderId="10" xfId="0" applyNumberFormat="1" applyFont="1" applyFill="1" applyBorder="1" applyAlignment="1">
      <alignment/>
    </xf>
    <xf numFmtId="49" fontId="10" fillId="4" borderId="10" xfId="0" applyNumberFormat="1" applyFont="1" applyFill="1" applyBorder="1" applyAlignment="1">
      <alignment horizontal="center"/>
    </xf>
    <xf numFmtId="4" fontId="10" fillId="4" borderId="10" xfId="0" applyNumberFormat="1" applyFont="1" applyFill="1" applyBorder="1" applyAlignment="1">
      <alignment/>
    </xf>
    <xf numFmtId="49" fontId="6" fillId="0" borderId="10" xfId="0" applyNumberFormat="1" applyFont="1" applyFill="1" applyBorder="1" applyAlignment="1">
      <alignment horizontal="left" vertical="center" wrapText="1"/>
    </xf>
    <xf numFmtId="2" fontId="10" fillId="33" borderId="10" xfId="0" applyNumberFormat="1" applyFont="1" applyFill="1" applyBorder="1" applyAlignment="1">
      <alignment horizontal="right" vertical="center"/>
    </xf>
    <xf numFmtId="49" fontId="10" fillId="33" borderId="10" xfId="0" applyNumberFormat="1" applyFont="1" applyFill="1" applyBorder="1" applyAlignment="1">
      <alignment horizontal="right" vertical="center"/>
    </xf>
    <xf numFmtId="0" fontId="6" fillId="0" borderId="11" xfId="0" applyFont="1" applyBorder="1" applyAlignment="1">
      <alignment horizontal="center" vertical="center"/>
    </xf>
    <xf numFmtId="0" fontId="6" fillId="0" borderId="11" xfId="0" applyFont="1" applyBorder="1" applyAlignment="1">
      <alignment horizontal="center" vertical="center" wrapText="1"/>
    </xf>
    <xf numFmtId="49" fontId="6" fillId="0" borderId="10" xfId="0" applyNumberFormat="1" applyFont="1" applyFill="1" applyBorder="1" applyAlignment="1">
      <alignment horizontal="right" vertical="center"/>
    </xf>
    <xf numFmtId="49" fontId="10" fillId="0" borderId="10" xfId="0" applyNumberFormat="1" applyFont="1" applyFill="1" applyBorder="1" applyAlignment="1">
      <alignment horizontal="right" vertical="center"/>
    </xf>
    <xf numFmtId="49" fontId="10" fillId="4" borderId="10" xfId="0" applyNumberFormat="1" applyFont="1" applyFill="1" applyBorder="1" applyAlignment="1">
      <alignment horizontal="right" vertical="center"/>
    </xf>
    <xf numFmtId="185" fontId="6" fillId="0" borderId="10" xfId="43" applyNumberFormat="1" applyFont="1" applyFill="1" applyBorder="1" applyAlignment="1">
      <alignment horizontal="right" vertical="center"/>
    </xf>
    <xf numFmtId="0" fontId="6" fillId="0" borderId="10" xfId="0" applyNumberFormat="1" applyFont="1" applyFill="1" applyBorder="1" applyAlignment="1">
      <alignment horizontal="right" vertical="center"/>
    </xf>
    <xf numFmtId="185" fontId="6" fillId="0" borderId="10" xfId="0" applyNumberFormat="1" applyFont="1" applyFill="1" applyBorder="1" applyAlignment="1">
      <alignment horizontal="right" vertical="center"/>
    </xf>
    <xf numFmtId="185" fontId="6" fillId="0" borderId="10" xfId="0" applyNumberFormat="1" applyFont="1" applyBorder="1" applyAlignment="1">
      <alignment horizontal="center" vertical="center"/>
    </xf>
    <xf numFmtId="0" fontId="6" fillId="0" borderId="10" xfId="0" applyFont="1" applyFill="1" applyBorder="1" applyAlignment="1">
      <alignment horizontal="center" vertical="center"/>
    </xf>
    <xf numFmtId="0" fontId="0" fillId="0" borderId="0" xfId="0" applyFill="1" applyAlignment="1">
      <alignment/>
    </xf>
    <xf numFmtId="0" fontId="6" fillId="0" borderId="10" xfId="0" applyFont="1" applyBorder="1" applyAlignment="1">
      <alignment vertical="center" wrapText="1"/>
    </xf>
    <xf numFmtId="0" fontId="6" fillId="0" borderId="10" xfId="0" applyFont="1" applyBorder="1" applyAlignment="1">
      <alignment horizontal="center" vertical="center" wrapText="1"/>
    </xf>
    <xf numFmtId="0" fontId="6" fillId="0" borderId="10" xfId="0" applyFont="1" applyBorder="1" applyAlignment="1">
      <alignment horizontal="left" vertical="center" wrapText="1"/>
    </xf>
    <xf numFmtId="0" fontId="6" fillId="0" borderId="10" xfId="43" applyNumberFormat="1" applyFont="1" applyFill="1" applyBorder="1" applyAlignment="1">
      <alignment horizontal="right" vertical="center"/>
    </xf>
    <xf numFmtId="0" fontId="15" fillId="0" borderId="0" xfId="0" applyFont="1" applyAlignment="1">
      <alignment horizontal="center" vertical="center"/>
    </xf>
    <xf numFmtId="0" fontId="16" fillId="0" borderId="0" xfId="0" applyFont="1" applyAlignment="1">
      <alignment horizontal="center" vertical="center"/>
    </xf>
    <xf numFmtId="0" fontId="15" fillId="0" borderId="0" xfId="0" applyFont="1" applyAlignment="1">
      <alignment vertical="center"/>
    </xf>
    <xf numFmtId="0" fontId="6" fillId="0" borderId="0" xfId="0" applyFont="1" applyAlignment="1">
      <alignment/>
    </xf>
    <xf numFmtId="0" fontId="10" fillId="0" borderId="10" xfId="0" applyFont="1" applyBorder="1" applyAlignment="1">
      <alignment horizontal="center" vertical="center" wrapText="1"/>
    </xf>
    <xf numFmtId="0" fontId="10" fillId="0" borderId="10"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4" fontId="6" fillId="0" borderId="0" xfId="0" applyNumberFormat="1" applyFont="1" applyAlignment="1">
      <alignment vertical="center"/>
    </xf>
    <xf numFmtId="0" fontId="10" fillId="0" borderId="0" xfId="0" applyFont="1" applyAlignment="1">
      <alignment vertical="center"/>
    </xf>
    <xf numFmtId="0" fontId="16" fillId="0" borderId="0" xfId="0" applyFont="1" applyAlignment="1">
      <alignment horizontal="center" vertical="top"/>
    </xf>
    <xf numFmtId="0" fontId="10" fillId="0" borderId="0" xfId="0" applyFont="1" applyAlignment="1">
      <alignment vertical="top"/>
    </xf>
    <xf numFmtId="0" fontId="10" fillId="0" borderId="0" xfId="0" applyFont="1" applyAlignment="1">
      <alignment horizontal="center" vertical="top"/>
    </xf>
    <xf numFmtId="0" fontId="4" fillId="8" borderId="0" xfId="0" applyFont="1" applyFill="1" applyAlignment="1">
      <alignment horizontal="center"/>
    </xf>
    <xf numFmtId="0" fontId="18" fillId="0" borderId="0" xfId="0" applyFont="1" applyAlignment="1">
      <alignment horizontal="center" vertical="center"/>
    </xf>
    <xf numFmtId="0" fontId="19" fillId="0" borderId="10" xfId="0" applyFont="1" applyBorder="1" applyAlignment="1">
      <alignment horizontal="center" vertical="center"/>
    </xf>
    <xf numFmtId="0" fontId="4" fillId="8" borderId="0" xfId="0" applyFont="1" applyFill="1" applyAlignment="1">
      <alignment horizontal="center" wrapText="1"/>
    </xf>
    <xf numFmtId="0" fontId="19" fillId="0" borderId="10" xfId="0" applyFont="1" applyBorder="1" applyAlignment="1">
      <alignment horizontal="center" vertical="center" wrapText="1"/>
    </xf>
    <xf numFmtId="0" fontId="19" fillId="32" borderId="10" xfId="0" applyFont="1" applyFill="1" applyBorder="1" applyAlignment="1">
      <alignment horizontal="center" vertical="center"/>
    </xf>
    <xf numFmtId="3" fontId="19" fillId="0" borderId="10" xfId="61" applyNumberFormat="1" applyFont="1" applyBorder="1" applyAlignment="1">
      <alignment horizontal="center" vertical="center" wrapText="1"/>
      <protection/>
    </xf>
    <xf numFmtId="3" fontId="22" fillId="0" borderId="10" xfId="61" applyNumberFormat="1" applyFont="1" applyBorder="1" applyAlignment="1">
      <alignment horizontal="center"/>
      <protection/>
    </xf>
    <xf numFmtId="3" fontId="22" fillId="0" borderId="10" xfId="61" applyNumberFormat="1" applyFont="1" applyBorder="1" applyAlignment="1">
      <alignment horizontal="left"/>
      <protection/>
    </xf>
    <xf numFmtId="3" fontId="10" fillId="0" borderId="10" xfId="61" applyNumberFormat="1" applyFont="1" applyBorder="1">
      <alignment/>
      <protection/>
    </xf>
    <xf numFmtId="3" fontId="23" fillId="0" borderId="10" xfId="61" applyNumberFormat="1" applyFont="1" applyBorder="1" applyAlignment="1">
      <alignment horizontal="center"/>
      <protection/>
    </xf>
    <xf numFmtId="3" fontId="23" fillId="0" borderId="10" xfId="61" applyNumberFormat="1" applyFont="1" applyBorder="1" applyAlignment="1">
      <alignment horizontal="left"/>
      <protection/>
    </xf>
    <xf numFmtId="203" fontId="6" fillId="0" borderId="10" xfId="45" applyNumberFormat="1" applyFont="1" applyBorder="1" applyAlignment="1">
      <alignment/>
    </xf>
    <xf numFmtId="0" fontId="10" fillId="0" borderId="10" xfId="0" applyFont="1" applyBorder="1" applyAlignment="1">
      <alignment vertical="center"/>
    </xf>
    <xf numFmtId="4" fontId="10" fillId="0" borderId="10" xfId="0" applyNumberFormat="1" applyFont="1" applyBorder="1" applyAlignment="1">
      <alignment vertical="center"/>
    </xf>
    <xf numFmtId="201" fontId="10" fillId="0" borderId="10" xfId="0" applyNumberFormat="1" applyFont="1" applyBorder="1" applyAlignment="1">
      <alignment vertical="center"/>
    </xf>
    <xf numFmtId="4" fontId="6" fillId="0" borderId="10" xfId="0" applyNumberFormat="1" applyFont="1" applyBorder="1" applyAlignment="1">
      <alignment vertical="center"/>
    </xf>
    <xf numFmtId="3" fontId="10" fillId="0" borderId="10" xfId="0" applyNumberFormat="1" applyFont="1" applyBorder="1" applyAlignment="1">
      <alignment vertical="center"/>
    </xf>
    <xf numFmtId="201" fontId="6" fillId="0" borderId="10" xfId="0" applyNumberFormat="1" applyFont="1" applyBorder="1" applyAlignment="1">
      <alignment vertical="center"/>
    </xf>
    <xf numFmtId="40" fontId="6" fillId="0" borderId="10" xfId="0" applyNumberFormat="1" applyFont="1" applyBorder="1" applyAlignment="1">
      <alignment vertical="center"/>
    </xf>
    <xf numFmtId="0" fontId="1" fillId="0" borderId="0" xfId="0" applyFont="1" applyAlignment="1">
      <alignment/>
    </xf>
    <xf numFmtId="3" fontId="6" fillId="0" borderId="10" xfId="0" applyNumberFormat="1" applyFont="1" applyBorder="1" applyAlignment="1">
      <alignment vertical="center"/>
    </xf>
    <xf numFmtId="0" fontId="10" fillId="0" borderId="0" xfId="0" applyFont="1" applyBorder="1" applyAlignment="1">
      <alignment horizontal="center" vertical="center"/>
    </xf>
    <xf numFmtId="4" fontId="10" fillId="0" borderId="0" xfId="0" applyNumberFormat="1" applyFont="1" applyBorder="1" applyAlignment="1">
      <alignment vertical="center"/>
    </xf>
    <xf numFmtId="0" fontId="18" fillId="0" borderId="0" xfId="0" applyFont="1" applyAlignment="1">
      <alignment vertical="center"/>
    </xf>
    <xf numFmtId="0" fontId="0" fillId="0" borderId="10" xfId="0" applyFont="1" applyBorder="1" applyAlignment="1">
      <alignment/>
    </xf>
    <xf numFmtId="0" fontId="1" fillId="0" borderId="10" xfId="0" applyFont="1" applyBorder="1" applyAlignment="1">
      <alignment/>
    </xf>
    <xf numFmtId="0" fontId="10" fillId="0" borderId="0" xfId="0" applyFont="1" applyAlignment="1">
      <alignment horizontal="center" vertical="top" wrapText="1"/>
    </xf>
    <xf numFmtId="0" fontId="10" fillId="0" borderId="0" xfId="0" applyFont="1" applyAlignment="1">
      <alignment vertical="top" wrapText="1"/>
    </xf>
    <xf numFmtId="3" fontId="6" fillId="0" borderId="10" xfId="0" applyNumberFormat="1" applyFont="1" applyBorder="1" applyAlignment="1">
      <alignment horizontal="center" vertical="center" wrapText="1"/>
    </xf>
    <xf numFmtId="0" fontId="10" fillId="0" borderId="10" xfId="0" applyFont="1" applyBorder="1" applyAlignment="1">
      <alignment vertical="center" wrapText="1"/>
    </xf>
    <xf numFmtId="0" fontId="10" fillId="0" borderId="10" xfId="0" applyFont="1" applyFill="1" applyBorder="1" applyAlignment="1">
      <alignment horizontal="center" vertical="center" wrapText="1"/>
    </xf>
    <xf numFmtId="0" fontId="6" fillId="0" borderId="10" xfId="0" applyFont="1" applyBorder="1" applyAlignment="1" quotePrefix="1">
      <alignment horizontal="center" vertical="center"/>
    </xf>
    <xf numFmtId="0" fontId="10" fillId="0" borderId="10" xfId="0" applyFont="1" applyBorder="1" applyAlignment="1" quotePrefix="1">
      <alignment horizontal="center" vertical="center"/>
    </xf>
    <xf numFmtId="0" fontId="17" fillId="0" borderId="10" xfId="0" applyFont="1" applyBorder="1" applyAlignment="1">
      <alignment/>
    </xf>
    <xf numFmtId="0" fontId="16" fillId="0" borderId="10" xfId="60" applyFont="1" applyBorder="1" applyAlignment="1">
      <alignment horizontal="center" vertical="center" wrapText="1"/>
      <protection/>
    </xf>
    <xf numFmtId="0" fontId="16" fillId="0" borderId="11" xfId="60" applyFont="1" applyBorder="1" applyAlignment="1">
      <alignment horizontal="center" vertical="center" wrapText="1"/>
      <protection/>
    </xf>
    <xf numFmtId="203" fontId="16" fillId="0" borderId="10" xfId="42" applyNumberFormat="1" applyFont="1" applyBorder="1" applyAlignment="1">
      <alignment horizontal="center" vertical="center" wrapText="1"/>
    </xf>
    <xf numFmtId="0" fontId="26" fillId="0" borderId="10" xfId="60" applyFont="1" applyBorder="1" applyAlignment="1">
      <alignment horizontal="center" vertical="center"/>
      <protection/>
    </xf>
    <xf numFmtId="4" fontId="15" fillId="0" borderId="10" xfId="60" applyNumberFormat="1" applyFont="1" applyBorder="1" applyAlignment="1">
      <alignment horizontal="center" vertical="center" wrapText="1"/>
      <protection/>
    </xf>
    <xf numFmtId="9" fontId="15" fillId="0" borderId="10" xfId="60" applyNumberFormat="1" applyFont="1" applyBorder="1" applyAlignment="1">
      <alignment horizontal="center" vertical="center" wrapText="1"/>
      <protection/>
    </xf>
    <xf numFmtId="0" fontId="16" fillId="0" borderId="12" xfId="0" applyFont="1" applyBorder="1" applyAlignment="1">
      <alignment horizontal="center" vertical="center" wrapText="1"/>
    </xf>
    <xf numFmtId="49" fontId="10" fillId="0" borderId="11" xfId="0" applyNumberFormat="1" applyFont="1" applyFill="1" applyBorder="1" applyAlignment="1">
      <alignment horizontal="center" vertical="center"/>
    </xf>
    <xf numFmtId="0" fontId="6" fillId="0" borderId="10" xfId="0" applyFont="1" applyFill="1" applyBorder="1" applyAlignment="1">
      <alignment horizontal="center" vertical="center" wrapText="1"/>
    </xf>
    <xf numFmtId="0" fontId="80" fillId="0" borderId="0" xfId="0" applyFont="1" applyAlignment="1">
      <alignment/>
    </xf>
    <xf numFmtId="0" fontId="24" fillId="0" borderId="10" xfId="0" applyFont="1" applyBorder="1" applyAlignment="1">
      <alignment horizontal="center"/>
    </xf>
    <xf numFmtId="0" fontId="16" fillId="0" borderId="0" xfId="0" applyFont="1" applyBorder="1" applyAlignment="1">
      <alignment horizontal="center" vertical="center" wrapText="1"/>
    </xf>
    <xf numFmtId="0" fontId="16"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0" xfId="0" applyFont="1" applyBorder="1" applyAlignment="1">
      <alignment horizontal="left" vertical="center" wrapText="1"/>
    </xf>
    <xf numFmtId="0" fontId="15" fillId="0" borderId="0" xfId="0" applyFont="1" applyBorder="1" applyAlignment="1">
      <alignment horizontal="center" vertical="center" wrapText="1"/>
    </xf>
    <xf numFmtId="0" fontId="15" fillId="0" borderId="0" xfId="0" applyFont="1" applyBorder="1" applyAlignment="1">
      <alignment horizontal="left" vertical="center" wrapText="1"/>
    </xf>
    <xf numFmtId="0" fontId="16" fillId="0" borderId="11" xfId="0" applyFont="1" applyBorder="1" applyAlignment="1">
      <alignment horizontal="center" vertical="center" wrapText="1"/>
    </xf>
    <xf numFmtId="0" fontId="16" fillId="0" borderId="10" xfId="0" applyFont="1" applyBorder="1" applyAlignment="1">
      <alignment horizontal="left" vertical="center" wrapText="1"/>
    </xf>
    <xf numFmtId="0" fontId="6" fillId="0" borderId="10" xfId="0" applyFont="1" applyBorder="1" applyAlignment="1" quotePrefix="1">
      <alignment horizontal="center" vertical="center" wrapText="1"/>
    </xf>
    <xf numFmtId="0" fontId="16" fillId="0" borderId="10" xfId="0" applyFont="1" applyBorder="1" applyAlignment="1">
      <alignment vertical="center" wrapText="1"/>
    </xf>
    <xf numFmtId="0" fontId="15" fillId="0" borderId="10" xfId="0" applyFont="1" applyBorder="1" applyAlignment="1">
      <alignment vertical="center" wrapText="1"/>
    </xf>
    <xf numFmtId="0" fontId="0" fillId="0" borderId="10" xfId="0" applyBorder="1" applyAlignment="1">
      <alignment horizontal="center"/>
    </xf>
    <xf numFmtId="0" fontId="0" fillId="0" borderId="0" xfId="0" applyBorder="1" applyAlignment="1">
      <alignment horizontal="center"/>
    </xf>
    <xf numFmtId="0" fontId="15" fillId="0" borderId="10" xfId="0" applyFont="1" applyBorder="1" applyAlignment="1" quotePrefix="1">
      <alignment horizontal="center" vertical="center" wrapText="1"/>
    </xf>
    <xf numFmtId="2" fontId="79" fillId="0" borderId="0" xfId="0" applyNumberFormat="1" applyFont="1" applyAlignment="1">
      <alignment/>
    </xf>
    <xf numFmtId="2" fontId="79" fillId="34" borderId="0" xfId="0" applyNumberFormat="1" applyFont="1" applyFill="1" applyAlignment="1">
      <alignment/>
    </xf>
    <xf numFmtId="203" fontId="6" fillId="0" borderId="10" xfId="45" applyNumberFormat="1" applyFont="1" applyBorder="1" applyAlignment="1">
      <alignment vertical="center"/>
    </xf>
    <xf numFmtId="0" fontId="1" fillId="0" borderId="10" xfId="0" applyFont="1" applyBorder="1" applyAlignment="1">
      <alignment horizontal="center" vertical="center"/>
    </xf>
    <xf numFmtId="0" fontId="3" fillId="0" borderId="10" xfId="0" applyFont="1" applyBorder="1" applyAlignment="1">
      <alignment horizontal="left"/>
    </xf>
    <xf numFmtId="0" fontId="81" fillId="35" borderId="10" xfId="55" applyFont="1" applyFill="1" applyBorder="1" applyAlignment="1" quotePrefix="1">
      <alignment/>
    </xf>
    <xf numFmtId="2" fontId="6" fillId="0" borderId="10" xfId="0" applyNumberFormat="1" applyFont="1" applyBorder="1" applyAlignment="1">
      <alignment horizontal="center" vertical="center"/>
    </xf>
    <xf numFmtId="0" fontId="0" fillId="0" borderId="0" xfId="0" applyBorder="1" applyAlignment="1">
      <alignment/>
    </xf>
    <xf numFmtId="2" fontId="1" fillId="0" borderId="0" xfId="43" applyNumberFormat="1" applyFont="1" applyAlignment="1">
      <alignment horizontal="right" vertical="center"/>
    </xf>
    <xf numFmtId="49" fontId="16" fillId="0" borderId="0" xfId="0" applyNumberFormat="1" applyFont="1" applyBorder="1" applyAlignment="1">
      <alignment/>
    </xf>
    <xf numFmtId="0" fontId="7" fillId="0" borderId="0" xfId="0" applyFont="1" applyAlignment="1">
      <alignment vertical="center"/>
    </xf>
    <xf numFmtId="2" fontId="10" fillId="0" borderId="10" xfId="43"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49" fontId="10" fillId="0" borderId="10" xfId="43" applyNumberFormat="1" applyFont="1" applyFill="1" applyBorder="1" applyAlignment="1">
      <alignment horizontal="center" vertical="center" wrapText="1"/>
    </xf>
    <xf numFmtId="185" fontId="6" fillId="36" borderId="10" xfId="0" applyNumberFormat="1" applyFont="1" applyFill="1" applyBorder="1" applyAlignment="1">
      <alignment horizontal="right" vertical="center"/>
    </xf>
    <xf numFmtId="2" fontId="6" fillId="36" borderId="10" xfId="0" applyNumberFormat="1" applyFont="1" applyFill="1" applyBorder="1" applyAlignment="1">
      <alignment horizontal="right" vertical="center"/>
    </xf>
    <xf numFmtId="49" fontId="10" fillId="36" borderId="10" xfId="0" applyNumberFormat="1" applyFont="1" applyFill="1" applyBorder="1" applyAlignment="1">
      <alignment horizontal="center" vertical="center"/>
    </xf>
    <xf numFmtId="49" fontId="10" fillId="36" borderId="10" xfId="0" applyNumberFormat="1" applyFont="1" applyFill="1" applyBorder="1" applyAlignment="1">
      <alignment horizontal="left" vertical="center" wrapText="1"/>
    </xf>
    <xf numFmtId="49" fontId="10" fillId="36" borderId="10" xfId="0" applyNumberFormat="1" applyFont="1" applyFill="1" applyBorder="1" applyAlignment="1">
      <alignment horizontal="right" vertical="center"/>
    </xf>
    <xf numFmtId="49" fontId="6" fillId="36" borderId="10" xfId="43" applyNumberFormat="1" applyFont="1" applyFill="1" applyBorder="1" applyAlignment="1">
      <alignment horizontal="right" vertical="center"/>
    </xf>
    <xf numFmtId="4" fontId="10" fillId="36" borderId="10" xfId="43" applyNumberFormat="1" applyFont="1" applyFill="1" applyBorder="1" applyAlignment="1">
      <alignment horizontal="right" vertical="center"/>
    </xf>
    <xf numFmtId="0" fontId="10" fillId="36" borderId="10" xfId="0" applyFont="1" applyFill="1" applyBorder="1" applyAlignment="1">
      <alignment/>
    </xf>
    <xf numFmtId="0" fontId="6" fillId="36" borderId="10" xfId="0" applyFont="1" applyFill="1" applyBorder="1" applyAlignment="1">
      <alignment vertical="center"/>
    </xf>
    <xf numFmtId="49" fontId="10" fillId="36" borderId="10" xfId="0" applyNumberFormat="1" applyFont="1" applyFill="1" applyBorder="1" applyAlignment="1">
      <alignment horizontal="left" vertical="center"/>
    </xf>
    <xf numFmtId="0" fontId="10" fillId="36" borderId="10" xfId="0" applyFont="1" applyFill="1" applyBorder="1" applyAlignment="1">
      <alignment horizontal="left" vertical="center" wrapText="1"/>
    </xf>
    <xf numFmtId="0" fontId="6" fillId="36" borderId="10" xfId="0" applyFont="1" applyFill="1" applyBorder="1" applyAlignment="1">
      <alignment horizontal="center" vertical="center"/>
    </xf>
    <xf numFmtId="0" fontId="19" fillId="32" borderId="10" xfId="0" applyFont="1" applyFill="1" applyBorder="1" applyAlignment="1">
      <alignment horizontal="center" vertical="center" wrapText="1"/>
    </xf>
    <xf numFmtId="49" fontId="13" fillId="0" borderId="13" xfId="0" applyNumberFormat="1" applyFont="1" applyFill="1" applyBorder="1" applyAlignment="1">
      <alignment horizontal="center" vertical="center"/>
    </xf>
    <xf numFmtId="49" fontId="10" fillId="0" borderId="11" xfId="0" applyNumberFormat="1" applyFont="1" applyFill="1" applyBorder="1" applyAlignment="1">
      <alignment horizontal="left" vertical="center" wrapText="1"/>
    </xf>
    <xf numFmtId="49" fontId="6" fillId="0" borderId="11" xfId="0" applyNumberFormat="1" applyFont="1" applyFill="1" applyBorder="1" applyAlignment="1">
      <alignment horizontal="center" vertical="center"/>
    </xf>
    <xf numFmtId="49" fontId="13" fillId="0" borderId="11" xfId="0" applyNumberFormat="1" applyFont="1" applyFill="1" applyBorder="1" applyAlignment="1">
      <alignment horizontal="center" vertical="center"/>
    </xf>
    <xf numFmtId="0" fontId="19" fillId="0" borderId="0" xfId="0" applyFont="1" applyBorder="1" applyAlignment="1">
      <alignment horizontal="center" vertical="center"/>
    </xf>
    <xf numFmtId="0" fontId="19" fillId="0" borderId="0" xfId="0" applyFont="1" applyBorder="1" applyAlignment="1">
      <alignment horizontal="center" vertical="center" wrapText="1"/>
    </xf>
    <xf numFmtId="0" fontId="12" fillId="11" borderId="10" xfId="55" applyFill="1" applyBorder="1" applyAlignment="1">
      <alignment horizontal="center" vertical="center"/>
    </xf>
    <xf numFmtId="0" fontId="19" fillId="11" borderId="10" xfId="0" applyFont="1" applyFill="1" applyBorder="1" applyAlignment="1">
      <alignment vertical="center" wrapText="1"/>
    </xf>
    <xf numFmtId="0" fontId="12" fillId="0" borderId="10" xfId="55" applyBorder="1" applyAlignment="1">
      <alignment vertical="center"/>
    </xf>
    <xf numFmtId="0" fontId="19" fillId="0" borderId="10" xfId="0" applyFont="1" applyBorder="1" applyAlignment="1">
      <alignment vertical="center" wrapText="1"/>
    </xf>
    <xf numFmtId="0" fontId="19" fillId="0" borderId="10" xfId="0" applyFont="1" applyFill="1" applyBorder="1" applyAlignment="1">
      <alignment vertical="center" wrapText="1"/>
    </xf>
    <xf numFmtId="0" fontId="20" fillId="0" borderId="10" xfId="0" applyFont="1" applyFill="1" applyBorder="1" applyAlignment="1">
      <alignment horizontal="center" vertical="center"/>
    </xf>
    <xf numFmtId="0" fontId="20" fillId="0" borderId="10" xfId="0" applyFont="1" applyFill="1" applyBorder="1" applyAlignment="1">
      <alignment horizontal="center" vertical="center" wrapText="1"/>
    </xf>
    <xf numFmtId="0" fontId="10" fillId="33" borderId="10" xfId="0" applyNumberFormat="1" applyFont="1" applyFill="1" applyBorder="1" applyAlignment="1">
      <alignment horizontal="right" vertical="center"/>
    </xf>
    <xf numFmtId="3" fontId="6" fillId="0" borderId="10" xfId="0" applyNumberFormat="1" applyFont="1" applyBorder="1" applyAlignment="1">
      <alignment horizontal="center" vertical="center"/>
    </xf>
    <xf numFmtId="3" fontId="10" fillId="0" borderId="10" xfId="0" applyNumberFormat="1" applyFont="1" applyBorder="1" applyAlignment="1">
      <alignment horizontal="center" vertical="center"/>
    </xf>
    <xf numFmtId="0" fontId="10" fillId="0" borderId="0" xfId="0" applyFont="1" applyBorder="1" applyAlignment="1">
      <alignment horizontal="center" vertical="center" wrapText="1"/>
    </xf>
    <xf numFmtId="49" fontId="13" fillId="9" borderId="14" xfId="0" applyNumberFormat="1" applyFont="1" applyFill="1" applyBorder="1" applyAlignment="1">
      <alignment horizontal="center" vertical="center"/>
    </xf>
    <xf numFmtId="49" fontId="13" fillId="9" borderId="14" xfId="0" applyNumberFormat="1" applyFont="1" applyFill="1" applyBorder="1" applyAlignment="1">
      <alignment horizontal="left" vertical="center" wrapText="1"/>
    </xf>
    <xf numFmtId="0" fontId="13" fillId="9" borderId="10" xfId="0" applyFont="1" applyFill="1" applyBorder="1" applyAlignment="1">
      <alignment horizontal="center" vertical="center"/>
    </xf>
    <xf numFmtId="0" fontId="13" fillId="9" borderId="10" xfId="0" applyNumberFormat="1" applyFont="1" applyFill="1" applyBorder="1" applyAlignment="1">
      <alignment horizontal="right" vertical="center"/>
    </xf>
    <xf numFmtId="0" fontId="30" fillId="0" borderId="10" xfId="55" applyFont="1" applyBorder="1" applyAlignment="1">
      <alignment horizontal="center" vertical="center"/>
    </xf>
    <xf numFmtId="0" fontId="31" fillId="0" borderId="10" xfId="0" applyFont="1" applyBorder="1" applyAlignment="1">
      <alignment horizontal="center" vertical="center" wrapText="1"/>
    </xf>
    <xf numFmtId="0" fontId="32" fillId="0" borderId="0" xfId="0" applyFont="1" applyAlignment="1">
      <alignment/>
    </xf>
    <xf numFmtId="49" fontId="13" fillId="9" borderId="10" xfId="0" applyNumberFormat="1" applyFont="1" applyFill="1" applyBorder="1" applyAlignment="1">
      <alignment horizontal="center" vertical="center"/>
    </xf>
    <xf numFmtId="49" fontId="13" fillId="9" borderId="10" xfId="0" applyNumberFormat="1" applyFont="1" applyFill="1" applyBorder="1" applyAlignment="1">
      <alignment horizontal="left" vertical="center" wrapText="1"/>
    </xf>
    <xf numFmtId="0" fontId="13" fillId="9" borderId="10" xfId="0" applyFont="1" applyFill="1" applyBorder="1" applyAlignment="1">
      <alignment horizontal="center" vertical="center" wrapText="1"/>
    </xf>
    <xf numFmtId="49" fontId="13" fillId="9" borderId="10" xfId="0" applyNumberFormat="1" applyFont="1" applyFill="1" applyBorder="1" applyAlignment="1">
      <alignment horizontal="right" vertical="center"/>
    </xf>
    <xf numFmtId="0" fontId="12" fillId="0" borderId="10" xfId="55" applyFont="1" applyBorder="1" applyAlignment="1">
      <alignment horizontal="center" vertical="center"/>
    </xf>
    <xf numFmtId="0" fontId="6" fillId="0" borderId="10" xfId="0" applyNumberFormat="1" applyFont="1" applyFill="1" applyBorder="1" applyAlignment="1">
      <alignment horizontal="center" vertical="center"/>
    </xf>
    <xf numFmtId="49" fontId="10" fillId="37" borderId="10" xfId="0" applyNumberFormat="1" applyFont="1" applyFill="1" applyBorder="1" applyAlignment="1">
      <alignment horizontal="center" vertical="center" wrapText="1"/>
    </xf>
    <xf numFmtId="49" fontId="10" fillId="37" borderId="10" xfId="0" applyNumberFormat="1" applyFont="1" applyFill="1" applyBorder="1" applyAlignment="1">
      <alignment horizontal="center" vertical="center"/>
    </xf>
    <xf numFmtId="0" fontId="6" fillId="37" borderId="15" xfId="0" applyFont="1" applyFill="1" applyBorder="1" applyAlignment="1">
      <alignment horizontal="left" wrapText="1"/>
    </xf>
    <xf numFmtId="49" fontId="10" fillId="37" borderId="15" xfId="0" applyNumberFormat="1" applyFont="1" applyFill="1" applyBorder="1" applyAlignment="1">
      <alignment horizontal="center" vertical="center"/>
    </xf>
    <xf numFmtId="0" fontId="6" fillId="37" borderId="15" xfId="0" applyFont="1" applyFill="1" applyBorder="1" applyAlignment="1">
      <alignment horizontal="center"/>
    </xf>
    <xf numFmtId="0" fontId="6" fillId="37" borderId="10" xfId="0" applyFont="1" applyFill="1" applyBorder="1" applyAlignment="1">
      <alignment horizontal="center" vertical="center"/>
    </xf>
    <xf numFmtId="0" fontId="6" fillId="37" borderId="15" xfId="0" applyFont="1" applyFill="1" applyBorder="1" applyAlignment="1">
      <alignment horizontal="center" vertical="top" wrapText="1"/>
    </xf>
    <xf numFmtId="2" fontId="6" fillId="37" borderId="10" xfId="0" applyNumberFormat="1" applyFont="1" applyFill="1" applyBorder="1" applyAlignment="1">
      <alignment horizontal="center" vertical="center"/>
    </xf>
    <xf numFmtId="0" fontId="10" fillId="37" borderId="10" xfId="0" applyFont="1" applyFill="1" applyBorder="1" applyAlignment="1">
      <alignment/>
    </xf>
    <xf numFmtId="0" fontId="6" fillId="37" borderId="16" xfId="0" applyFont="1" applyFill="1" applyBorder="1" applyAlignment="1">
      <alignment horizontal="center" vertical="center"/>
    </xf>
    <xf numFmtId="49" fontId="10" fillId="37" borderId="10" xfId="0" applyNumberFormat="1" applyFont="1" applyFill="1" applyBorder="1" applyAlignment="1">
      <alignment horizontal="left" vertical="center" wrapText="1"/>
    </xf>
    <xf numFmtId="0" fontId="6" fillId="37" borderId="10" xfId="0" applyFont="1" applyFill="1" applyBorder="1" applyAlignment="1">
      <alignment vertical="center"/>
    </xf>
    <xf numFmtId="0" fontId="6" fillId="37" borderId="15" xfId="0" applyFont="1" applyFill="1" applyBorder="1" applyAlignment="1">
      <alignment horizontal="center" vertical="center"/>
    </xf>
    <xf numFmtId="0" fontId="13" fillId="37" borderId="10" xfId="0" applyFont="1" applyFill="1" applyBorder="1" applyAlignment="1">
      <alignment horizontal="center" vertical="center"/>
    </xf>
    <xf numFmtId="0" fontId="6" fillId="37" borderId="15" xfId="0" applyFont="1" applyFill="1" applyBorder="1" applyAlignment="1">
      <alignment horizontal="center" vertical="center" wrapText="1"/>
    </xf>
    <xf numFmtId="0" fontId="13" fillId="37" borderId="10" xfId="0" applyFont="1" applyFill="1" applyBorder="1" applyAlignment="1">
      <alignment horizontal="center" vertical="center" wrapText="1"/>
    </xf>
    <xf numFmtId="0" fontId="6" fillId="37" borderId="10" xfId="0" applyFont="1" applyFill="1" applyBorder="1" applyAlignment="1">
      <alignment vertical="center" wrapText="1"/>
    </xf>
    <xf numFmtId="0" fontId="6" fillId="37" borderId="10" xfId="0" applyFont="1" applyFill="1" applyBorder="1" applyAlignment="1">
      <alignment horizontal="left" vertical="center" wrapText="1"/>
    </xf>
    <xf numFmtId="0" fontId="6" fillId="37" borderId="10" xfId="0" applyFont="1" applyFill="1" applyBorder="1" applyAlignment="1">
      <alignment horizontal="center" vertical="center" wrapText="1"/>
    </xf>
    <xf numFmtId="185" fontId="6" fillId="37" borderId="10" xfId="0" applyNumberFormat="1" applyFont="1" applyFill="1" applyBorder="1" applyAlignment="1">
      <alignment horizontal="center" vertical="center"/>
    </xf>
    <xf numFmtId="4" fontId="82" fillId="0" borderId="10" xfId="0" applyNumberFormat="1" applyFont="1" applyBorder="1" applyAlignment="1">
      <alignment vertical="center"/>
    </xf>
    <xf numFmtId="201" fontId="82" fillId="0" borderId="10" xfId="0" applyNumberFormat="1" applyFont="1" applyBorder="1" applyAlignment="1">
      <alignment vertical="center"/>
    </xf>
    <xf numFmtId="3" fontId="82" fillId="0" borderId="10" xfId="0" applyNumberFormat="1" applyFont="1" applyBorder="1" applyAlignment="1">
      <alignment vertical="center"/>
    </xf>
    <xf numFmtId="4" fontId="83" fillId="0" borderId="10" xfId="0" applyNumberFormat="1" applyFont="1" applyBorder="1" applyAlignment="1">
      <alignment vertical="center"/>
    </xf>
    <xf numFmtId="0" fontId="79" fillId="0" borderId="10" xfId="0" applyFont="1" applyBorder="1" applyAlignment="1">
      <alignment/>
    </xf>
    <xf numFmtId="0" fontId="82" fillId="0" borderId="10" xfId="0" applyFont="1" applyBorder="1" applyAlignment="1">
      <alignment horizontal="center" vertical="center"/>
    </xf>
    <xf numFmtId="0" fontId="82" fillId="0" borderId="10" xfId="0" applyFont="1" applyBorder="1" applyAlignment="1">
      <alignment horizontal="center"/>
    </xf>
    <xf numFmtId="3" fontId="82" fillId="0" borderId="10" xfId="0" applyNumberFormat="1" applyFont="1" applyBorder="1" applyAlignment="1">
      <alignment horizontal="center" vertical="center"/>
    </xf>
    <xf numFmtId="3" fontId="83" fillId="0" borderId="10" xfId="0" applyNumberFormat="1" applyFont="1" applyBorder="1" applyAlignment="1">
      <alignment horizontal="center" vertical="center"/>
    </xf>
    <xf numFmtId="202" fontId="84" fillId="0" borderId="10" xfId="42" applyNumberFormat="1" applyFont="1" applyBorder="1" applyAlignment="1">
      <alignment horizontal="right" vertical="center"/>
    </xf>
    <xf numFmtId="0" fontId="79" fillId="0" borderId="10" xfId="0" applyFont="1" applyBorder="1" applyAlignment="1">
      <alignment horizontal="center"/>
    </xf>
    <xf numFmtId="0" fontId="79" fillId="0" borderId="10" xfId="0" applyFont="1" applyBorder="1" applyAlignment="1">
      <alignment horizontal="center" vertical="center"/>
    </xf>
    <xf numFmtId="2" fontId="85" fillId="0" borderId="10" xfId="0" applyNumberFormat="1" applyFont="1" applyBorder="1" applyAlignment="1">
      <alignment vertical="center" wrapText="1"/>
    </xf>
    <xf numFmtId="2" fontId="86" fillId="0" borderId="10" xfId="0" applyNumberFormat="1" applyFont="1" applyBorder="1" applyAlignment="1">
      <alignment vertical="center" wrapText="1"/>
    </xf>
    <xf numFmtId="203" fontId="10" fillId="0" borderId="10" xfId="45" applyNumberFormat="1" applyFont="1" applyBorder="1" applyAlignment="1">
      <alignment/>
    </xf>
    <xf numFmtId="3" fontId="22" fillId="0" borderId="10" xfId="61" applyNumberFormat="1" applyFont="1" applyFill="1" applyBorder="1" applyAlignment="1">
      <alignment horizontal="center"/>
      <protection/>
    </xf>
    <xf numFmtId="3" fontId="22" fillId="0" borderId="10" xfId="61" applyNumberFormat="1" applyFont="1" applyFill="1" applyBorder="1" applyAlignment="1">
      <alignment horizontal="left"/>
      <protection/>
    </xf>
    <xf numFmtId="3" fontId="10" fillId="0" borderId="10" xfId="61" applyNumberFormat="1" applyFont="1" applyFill="1" applyBorder="1">
      <alignment/>
      <protection/>
    </xf>
    <xf numFmtId="3" fontId="23" fillId="0" borderId="10" xfId="61" applyNumberFormat="1" applyFont="1" applyFill="1" applyBorder="1" applyAlignment="1">
      <alignment horizontal="center"/>
      <protection/>
    </xf>
    <xf numFmtId="0" fontId="33" fillId="0" borderId="10" xfId="0" applyFont="1" applyBorder="1" applyAlignment="1">
      <alignment/>
    </xf>
    <xf numFmtId="3" fontId="23" fillId="0" borderId="10" xfId="61" applyNumberFormat="1" applyFont="1" applyBorder="1" applyAlignment="1">
      <alignment horizontal="left" wrapText="1"/>
      <protection/>
    </xf>
    <xf numFmtId="0" fontId="33" fillId="0" borderId="0" xfId="0" applyFont="1" applyAlignment="1">
      <alignment/>
    </xf>
    <xf numFmtId="49" fontId="6" fillId="0" borderId="17" xfId="0" applyNumberFormat="1" applyFont="1" applyFill="1" applyBorder="1" applyAlignment="1">
      <alignment horizontal="center" vertical="center"/>
    </xf>
    <xf numFmtId="0" fontId="33" fillId="0" borderId="10" xfId="0" applyFont="1" applyBorder="1" applyAlignment="1">
      <alignment wrapText="1"/>
    </xf>
    <xf numFmtId="3" fontId="23" fillId="0" borderId="10" xfId="61" applyNumberFormat="1" applyFont="1" applyBorder="1" applyAlignment="1">
      <alignment horizontal="center" vertical="center"/>
      <protection/>
    </xf>
    <xf numFmtId="3" fontId="22" fillId="0" borderId="10" xfId="61" applyNumberFormat="1" applyFont="1" applyBorder="1" applyAlignment="1">
      <alignment horizontal="center" vertical="center"/>
      <protection/>
    </xf>
    <xf numFmtId="3" fontId="22" fillId="0" borderId="10" xfId="61" applyNumberFormat="1" applyFont="1" applyBorder="1" applyAlignment="1">
      <alignment horizontal="left" vertical="center" wrapText="1"/>
      <protection/>
    </xf>
    <xf numFmtId="3" fontId="82" fillId="0" borderId="10" xfId="61" applyNumberFormat="1" applyFont="1" applyFill="1" applyBorder="1">
      <alignment/>
      <protection/>
    </xf>
    <xf numFmtId="3" fontId="22" fillId="0" borderId="10" xfId="61" applyNumberFormat="1" applyFont="1" applyFill="1" applyBorder="1" applyAlignment="1">
      <alignment horizontal="left" wrapText="1"/>
      <protection/>
    </xf>
    <xf numFmtId="3" fontId="82" fillId="0" borderId="10" xfId="61" applyNumberFormat="1" applyFont="1" applyFill="1" applyBorder="1" applyAlignment="1">
      <alignment vertical="center"/>
      <protection/>
    </xf>
    <xf numFmtId="0" fontId="16" fillId="0" borderId="0" xfId="0" applyFont="1" applyAlignment="1">
      <alignment vertical="top"/>
    </xf>
    <xf numFmtId="0" fontId="16" fillId="0" borderId="0" xfId="0" applyFont="1" applyAlignment="1">
      <alignment vertical="center"/>
    </xf>
    <xf numFmtId="0" fontId="10" fillId="0" borderId="0" xfId="0" applyFont="1" applyAlignment="1">
      <alignment horizontal="left" vertical="top"/>
    </xf>
    <xf numFmtId="0" fontId="10" fillId="0" borderId="15" xfId="0" applyFont="1" applyBorder="1" applyAlignment="1" quotePrefix="1">
      <alignment horizontal="center" vertical="center"/>
    </xf>
    <xf numFmtId="0" fontId="10" fillId="0" borderId="14" xfId="0" applyFont="1" applyFill="1" applyBorder="1" applyAlignment="1">
      <alignment horizontal="center" vertical="center" wrapText="1"/>
    </xf>
    <xf numFmtId="0" fontId="24" fillId="0" borderId="10" xfId="0" applyFont="1" applyBorder="1" applyAlignment="1">
      <alignment/>
    </xf>
    <xf numFmtId="190" fontId="24" fillId="0" borderId="10" xfId="42" applyNumberFormat="1" applyFont="1" applyBorder="1" applyAlignment="1">
      <alignment/>
    </xf>
    <xf numFmtId="4" fontId="6" fillId="0" borderId="10" xfId="0" applyNumberFormat="1" applyFont="1" applyBorder="1" applyAlignment="1">
      <alignment vertical="center" wrapText="1"/>
    </xf>
    <xf numFmtId="2" fontId="83" fillId="0" borderId="10" xfId="0" applyNumberFormat="1" applyFont="1" applyBorder="1" applyAlignment="1">
      <alignment horizontal="right"/>
    </xf>
    <xf numFmtId="2" fontId="10" fillId="0" borderId="10" xfId="0" applyNumberFormat="1" applyFont="1" applyBorder="1" applyAlignment="1">
      <alignment horizontal="right" vertical="center" wrapText="1"/>
    </xf>
    <xf numFmtId="2" fontId="83" fillId="0" borderId="10" xfId="0" applyNumberFormat="1" applyFont="1" applyBorder="1" applyAlignment="1">
      <alignment horizontal="right" vertical="center"/>
    </xf>
    <xf numFmtId="2" fontId="82" fillId="0" borderId="10" xfId="0" applyNumberFormat="1" applyFont="1" applyBorder="1" applyAlignment="1">
      <alignment horizontal="right" vertical="center"/>
    </xf>
    <xf numFmtId="2" fontId="82" fillId="0" borderId="10" xfId="0" applyNumberFormat="1" applyFont="1" applyBorder="1" applyAlignment="1">
      <alignment horizontal="right"/>
    </xf>
    <xf numFmtId="0" fontId="13" fillId="0" borderId="10" xfId="0" applyFont="1" applyBorder="1" applyAlignment="1" quotePrefix="1">
      <alignment horizontal="center" vertical="center"/>
    </xf>
    <xf numFmtId="0" fontId="13" fillId="0" borderId="10" xfId="0" applyFont="1" applyBorder="1" applyAlignment="1">
      <alignment vertical="center"/>
    </xf>
    <xf numFmtId="2" fontId="87" fillId="0" borderId="10" xfId="0" applyNumberFormat="1" applyFont="1" applyBorder="1" applyAlignment="1">
      <alignment horizontal="right" vertical="center"/>
    </xf>
    <xf numFmtId="4" fontId="87" fillId="0" borderId="10" xfId="0" applyNumberFormat="1" applyFont="1" applyBorder="1" applyAlignment="1">
      <alignment vertical="center"/>
    </xf>
    <xf numFmtId="0" fontId="13" fillId="0" borderId="10" xfId="0" applyFont="1" applyBorder="1" applyAlignment="1">
      <alignment vertical="center" wrapText="1"/>
    </xf>
    <xf numFmtId="2" fontId="0" fillId="0" borderId="0" xfId="0" applyNumberFormat="1" applyAlignment="1">
      <alignment/>
    </xf>
    <xf numFmtId="190" fontId="17" fillId="0" borderId="10" xfId="0" applyNumberFormat="1" applyFont="1" applyBorder="1" applyAlignment="1">
      <alignment/>
    </xf>
    <xf numFmtId="1" fontId="82" fillId="0" borderId="10" xfId="0" applyNumberFormat="1" applyFont="1" applyBorder="1" applyAlignment="1">
      <alignment horizontal="center" vertical="center" wrapText="1"/>
    </xf>
    <xf numFmtId="0" fontId="79" fillId="0" borderId="10" xfId="0" applyFont="1" applyBorder="1" applyAlignment="1">
      <alignment/>
    </xf>
    <xf numFmtId="4" fontId="6" fillId="0" borderId="14" xfId="0" applyNumberFormat="1" applyFont="1" applyBorder="1" applyAlignment="1">
      <alignment vertical="center"/>
    </xf>
    <xf numFmtId="0" fontId="4" fillId="0" borderId="10" xfId="0" applyFont="1" applyBorder="1" applyAlignment="1">
      <alignment horizontal="center" vertical="center"/>
    </xf>
    <xf numFmtId="0" fontId="88" fillId="0" borderId="10" xfId="0" applyFont="1" applyBorder="1" applyAlignment="1">
      <alignment horizontal="center" vertical="center"/>
    </xf>
    <xf numFmtId="0" fontId="3" fillId="0" borderId="10" xfId="0" applyFont="1" applyBorder="1" applyAlignment="1">
      <alignment horizontal="center" vertical="center"/>
    </xf>
    <xf numFmtId="0" fontId="83" fillId="0" borderId="18" xfId="0" applyFont="1" applyBorder="1" applyAlignment="1">
      <alignment horizontal="center" vertical="center"/>
    </xf>
    <xf numFmtId="4" fontId="10" fillId="0" borderId="14" xfId="0" applyNumberFormat="1" applyFont="1" applyBorder="1" applyAlignment="1">
      <alignment vertical="center"/>
    </xf>
    <xf numFmtId="3" fontId="89" fillId="0" borderId="10" xfId="0" applyNumberFormat="1" applyFont="1" applyBorder="1" applyAlignment="1">
      <alignment horizontal="right" vertical="center" wrapText="1"/>
    </xf>
    <xf numFmtId="3" fontId="90" fillId="0" borderId="10" xfId="0" applyNumberFormat="1" applyFont="1" applyBorder="1" applyAlignment="1">
      <alignment horizontal="right" vertical="center" wrapText="1"/>
    </xf>
    <xf numFmtId="3" fontId="91" fillId="0" borderId="10" xfId="0" applyNumberFormat="1" applyFont="1" applyBorder="1" applyAlignment="1">
      <alignment horizontal="right" vertical="center" wrapText="1"/>
    </xf>
    <xf numFmtId="0" fontId="90" fillId="0" borderId="10" xfId="0" applyFont="1" applyBorder="1" applyAlignment="1">
      <alignment horizontal="right" vertical="center"/>
    </xf>
    <xf numFmtId="0" fontId="24" fillId="0" borderId="14" xfId="0" applyFont="1" applyBorder="1" applyAlignment="1">
      <alignment/>
    </xf>
    <xf numFmtId="3" fontId="10" fillId="0" borderId="14" xfId="0" applyNumberFormat="1" applyFont="1" applyBorder="1" applyAlignment="1">
      <alignment/>
    </xf>
    <xf numFmtId="2" fontId="10" fillId="0" borderId="14" xfId="0" applyNumberFormat="1" applyFont="1" applyBorder="1" applyAlignment="1">
      <alignment/>
    </xf>
    <xf numFmtId="2" fontId="90" fillId="0" borderId="10" xfId="0" applyNumberFormat="1" applyFont="1" applyBorder="1" applyAlignment="1">
      <alignment horizontal="right" vertical="center"/>
    </xf>
    <xf numFmtId="190" fontId="10" fillId="0" borderId="10" xfId="42" applyNumberFormat="1" applyFont="1" applyBorder="1" applyAlignment="1">
      <alignment horizontal="center" vertical="center" wrapText="1"/>
    </xf>
    <xf numFmtId="190" fontId="6" fillId="0" borderId="10" xfId="42" applyNumberFormat="1" applyFont="1" applyBorder="1" applyAlignment="1">
      <alignment horizontal="center" vertical="center" wrapText="1"/>
    </xf>
    <xf numFmtId="2" fontId="24" fillId="0" borderId="10" xfId="0" applyNumberFormat="1" applyFont="1" applyBorder="1" applyAlignment="1">
      <alignment/>
    </xf>
    <xf numFmtId="43" fontId="24" fillId="0" borderId="10" xfId="0" applyNumberFormat="1" applyFont="1" applyBorder="1" applyAlignment="1">
      <alignment/>
    </xf>
    <xf numFmtId="0" fontId="6" fillId="0" borderId="16" xfId="0" applyFont="1" applyFill="1" applyBorder="1" applyAlignment="1">
      <alignment horizontal="center" vertical="center"/>
    </xf>
    <xf numFmtId="49" fontId="10" fillId="0" borderId="11" xfId="0" applyNumberFormat="1" applyFont="1" applyFill="1" applyBorder="1" applyAlignment="1">
      <alignment/>
    </xf>
    <xf numFmtId="0" fontId="0" fillId="0" borderId="17" xfId="0" applyFill="1" applyBorder="1" applyAlignment="1">
      <alignment/>
    </xf>
    <xf numFmtId="0" fontId="0" fillId="0" borderId="17" xfId="0" applyFill="1" applyBorder="1" applyAlignment="1">
      <alignment wrapText="1"/>
    </xf>
    <xf numFmtId="0" fontId="1" fillId="0" borderId="17" xfId="0" applyFont="1" applyFill="1" applyBorder="1" applyAlignment="1">
      <alignment/>
    </xf>
    <xf numFmtId="0" fontId="7" fillId="0" borderId="17" xfId="0" applyFont="1" applyFill="1" applyBorder="1" applyAlignment="1">
      <alignment/>
    </xf>
    <xf numFmtId="0" fontId="7" fillId="0" borderId="17" xfId="0" applyFont="1" applyFill="1" applyBorder="1" applyAlignment="1">
      <alignment/>
    </xf>
    <xf numFmtId="0" fontId="0" fillId="0" borderId="17" xfId="0" applyFont="1" applyFill="1" applyBorder="1" applyAlignment="1">
      <alignment/>
    </xf>
    <xf numFmtId="0" fontId="19" fillId="38" borderId="10" xfId="0" applyFont="1" applyFill="1" applyBorder="1" applyAlignment="1">
      <alignment horizontal="center" vertical="center" wrapText="1"/>
    </xf>
    <xf numFmtId="2" fontId="10" fillId="0" borderId="10" xfId="0" applyNumberFormat="1" applyFont="1" applyFill="1" applyBorder="1" applyAlignment="1">
      <alignment horizontal="center" vertical="center"/>
    </xf>
    <xf numFmtId="0" fontId="12" fillId="36" borderId="10" xfId="55" applyFill="1" applyBorder="1" applyAlignment="1">
      <alignment horizontal="center" vertical="center"/>
    </xf>
    <xf numFmtId="0" fontId="19" fillId="36" borderId="10" xfId="0" applyFont="1" applyFill="1" applyBorder="1" applyAlignment="1">
      <alignment horizontal="center" vertical="center" wrapText="1"/>
    </xf>
    <xf numFmtId="0" fontId="6" fillId="0" borderId="15" xfId="0" applyFont="1" applyFill="1" applyBorder="1" applyAlignment="1">
      <alignment horizontal="center" vertical="top" wrapText="1"/>
    </xf>
    <xf numFmtId="0" fontId="28" fillId="13" borderId="10" xfId="62" applyFont="1" applyFill="1" applyBorder="1" applyAlignment="1">
      <alignment horizontal="center" vertical="center"/>
      <protection/>
    </xf>
    <xf numFmtId="1" fontId="82" fillId="0" borderId="10" xfId="0" applyNumberFormat="1" applyFont="1" applyBorder="1" applyAlignment="1">
      <alignment/>
    </xf>
    <xf numFmtId="0" fontId="83" fillId="0" borderId="10" xfId="0" applyFont="1" applyBorder="1" applyAlignment="1">
      <alignment/>
    </xf>
    <xf numFmtId="3" fontId="83" fillId="0" borderId="10" xfId="0" applyNumberFormat="1" applyFont="1" applyBorder="1" applyAlignment="1">
      <alignment vertical="center"/>
    </xf>
    <xf numFmtId="49" fontId="10" fillId="0" borderId="10" xfId="0" applyNumberFormat="1" applyFont="1" applyFill="1" applyBorder="1" applyAlignment="1">
      <alignment horizontal="left" vertical="center" wrapText="1"/>
    </xf>
    <xf numFmtId="0" fontId="6" fillId="0" borderId="15" xfId="0" applyFont="1" applyFill="1" applyBorder="1" applyAlignment="1">
      <alignment horizontal="left" wrapText="1"/>
    </xf>
    <xf numFmtId="0" fontId="6" fillId="0" borderId="10" xfId="0" applyFont="1" applyFill="1" applyBorder="1" applyAlignment="1">
      <alignment horizontal="left" vertical="center" wrapText="1"/>
    </xf>
    <xf numFmtId="2" fontId="6" fillId="0" borderId="10" xfId="0" applyNumberFormat="1" applyFont="1" applyFill="1" applyBorder="1" applyAlignment="1">
      <alignment horizontal="right" vertical="center"/>
    </xf>
    <xf numFmtId="49" fontId="10" fillId="0" borderId="15" xfId="0" applyNumberFormat="1" applyFont="1" applyFill="1" applyBorder="1" applyAlignment="1">
      <alignment horizontal="center" vertical="center"/>
    </xf>
    <xf numFmtId="49" fontId="6" fillId="0" borderId="10" xfId="43" applyNumberFormat="1" applyFont="1" applyFill="1" applyBorder="1" applyAlignment="1">
      <alignment horizontal="right" vertical="center"/>
    </xf>
    <xf numFmtId="4" fontId="10" fillId="0" borderId="10" xfId="43" applyNumberFormat="1" applyFont="1" applyFill="1" applyBorder="1" applyAlignment="1">
      <alignment horizontal="right" vertical="center"/>
    </xf>
    <xf numFmtId="0" fontId="6" fillId="0" borderId="15" xfId="0" applyFont="1" applyFill="1" applyBorder="1" applyAlignment="1">
      <alignment horizontal="center"/>
    </xf>
    <xf numFmtId="0" fontId="6" fillId="0" borderId="11" xfId="0" applyFont="1" applyFill="1" applyBorder="1" applyAlignment="1">
      <alignment horizontal="center" vertical="center"/>
    </xf>
    <xf numFmtId="0" fontId="6" fillId="0" borderId="15" xfId="0" applyFont="1" applyFill="1" applyBorder="1" applyAlignment="1">
      <alignment horizontal="center" vertical="center" wrapText="1"/>
    </xf>
    <xf numFmtId="185" fontId="6" fillId="0" borderId="10" xfId="0" applyNumberFormat="1" applyFont="1" applyFill="1" applyBorder="1" applyAlignment="1">
      <alignment horizontal="center" vertical="center"/>
    </xf>
    <xf numFmtId="2" fontId="6" fillId="0" borderId="10" xfId="0" applyNumberFormat="1" applyFont="1" applyFill="1" applyBorder="1" applyAlignment="1">
      <alignment horizontal="center" vertical="center"/>
    </xf>
    <xf numFmtId="0" fontId="10" fillId="0" borderId="10" xfId="0" applyFont="1" applyFill="1" applyBorder="1" applyAlignment="1">
      <alignment/>
    </xf>
    <xf numFmtId="0" fontId="6" fillId="0" borderId="10" xfId="0" applyFont="1" applyFill="1" applyBorder="1" applyAlignment="1">
      <alignment vertical="center"/>
    </xf>
    <xf numFmtId="0" fontId="6" fillId="0" borderId="15" xfId="0" applyFont="1" applyFill="1" applyBorder="1" applyAlignment="1">
      <alignment horizontal="center" vertical="center"/>
    </xf>
    <xf numFmtId="0" fontId="10" fillId="0" borderId="10" xfId="0" applyFont="1" applyFill="1" applyBorder="1" applyAlignment="1">
      <alignment horizontal="left" vertical="center" wrapText="1"/>
    </xf>
    <xf numFmtId="49" fontId="13" fillId="0" borderId="14" xfId="0" applyNumberFormat="1" applyFont="1" applyFill="1" applyBorder="1" applyAlignment="1">
      <alignment horizontal="center" vertical="center"/>
    </xf>
    <xf numFmtId="49" fontId="13" fillId="0" borderId="14" xfId="0" applyNumberFormat="1" applyFont="1" applyFill="1" applyBorder="1" applyAlignment="1">
      <alignment horizontal="left" vertical="center" wrapText="1"/>
    </xf>
    <xf numFmtId="0" fontId="13" fillId="0" borderId="10" xfId="0" applyFont="1" applyFill="1" applyBorder="1" applyAlignment="1">
      <alignment horizontal="center" vertical="center"/>
    </xf>
    <xf numFmtId="0" fontId="13" fillId="0" borderId="10" xfId="0" applyNumberFormat="1" applyFont="1" applyFill="1" applyBorder="1" applyAlignment="1">
      <alignment horizontal="right" vertical="center"/>
    </xf>
    <xf numFmtId="0" fontId="6" fillId="0" borderId="11" xfId="0" applyFont="1" applyFill="1" applyBorder="1" applyAlignment="1">
      <alignment horizontal="center" vertical="center" wrapText="1"/>
    </xf>
    <xf numFmtId="49" fontId="13" fillId="0" borderId="10" xfId="0" applyNumberFormat="1" applyFont="1" applyFill="1" applyBorder="1" applyAlignment="1">
      <alignment horizontal="center" vertical="center"/>
    </xf>
    <xf numFmtId="49" fontId="13" fillId="0" borderId="10" xfId="0" applyNumberFormat="1" applyFont="1" applyFill="1" applyBorder="1" applyAlignment="1">
      <alignment horizontal="left" vertical="center" wrapText="1"/>
    </xf>
    <xf numFmtId="0" fontId="13" fillId="0" borderId="10" xfId="0" applyFont="1" applyFill="1" applyBorder="1" applyAlignment="1">
      <alignment horizontal="center" vertical="center" wrapText="1"/>
    </xf>
    <xf numFmtId="49" fontId="13" fillId="0" borderId="10" xfId="0" applyNumberFormat="1" applyFont="1" applyFill="1" applyBorder="1" applyAlignment="1">
      <alignment horizontal="right" vertical="center"/>
    </xf>
    <xf numFmtId="0" fontId="6" fillId="0" borderId="10" xfId="0" applyFont="1" applyFill="1" applyBorder="1" applyAlignment="1">
      <alignment vertical="center" wrapText="1"/>
    </xf>
    <xf numFmtId="0" fontId="10" fillId="0" borderId="10" xfId="0" applyNumberFormat="1" applyFont="1" applyFill="1" applyBorder="1" applyAlignment="1">
      <alignment horizontal="right" vertical="center"/>
    </xf>
    <xf numFmtId="2" fontId="10" fillId="0" borderId="10" xfId="0" applyNumberFormat="1" applyFont="1" applyFill="1" applyBorder="1" applyAlignment="1">
      <alignment horizontal="right" vertical="center"/>
    </xf>
    <xf numFmtId="49" fontId="10" fillId="0" borderId="10" xfId="0" applyNumberFormat="1" applyFont="1" applyFill="1" applyBorder="1" applyAlignment="1">
      <alignment/>
    </xf>
    <xf numFmtId="49" fontId="10" fillId="0" borderId="10" xfId="0" applyNumberFormat="1" applyFont="1" applyFill="1" applyBorder="1" applyAlignment="1">
      <alignment horizontal="center"/>
    </xf>
    <xf numFmtId="4" fontId="10" fillId="0" borderId="10" xfId="0" applyNumberFormat="1" applyFont="1" applyFill="1" applyBorder="1" applyAlignment="1">
      <alignment/>
    </xf>
    <xf numFmtId="4" fontId="6" fillId="0" borderId="10" xfId="43" applyNumberFormat="1" applyFont="1" applyFill="1" applyBorder="1" applyAlignment="1">
      <alignment horizontal="right" vertical="center"/>
    </xf>
    <xf numFmtId="2" fontId="6" fillId="0" borderId="10" xfId="43" applyNumberFormat="1" applyFont="1" applyFill="1" applyBorder="1" applyAlignment="1">
      <alignment horizontal="center" vertical="center"/>
    </xf>
    <xf numFmtId="49" fontId="10" fillId="0" borderId="10" xfId="43" applyNumberFormat="1" applyFont="1" applyFill="1" applyBorder="1" applyAlignment="1">
      <alignment horizontal="center" vertical="center"/>
    </xf>
    <xf numFmtId="2" fontId="10" fillId="0" borderId="10" xfId="0" applyNumberFormat="1" applyFont="1" applyFill="1" applyBorder="1" applyAlignment="1">
      <alignment horizontal="left" vertical="center" wrapText="1"/>
    </xf>
    <xf numFmtId="49" fontId="6" fillId="0" borderId="10" xfId="43" applyNumberFormat="1" applyFont="1" applyFill="1" applyBorder="1" applyAlignment="1">
      <alignment horizontal="center" vertical="center"/>
    </xf>
    <xf numFmtId="2" fontId="13" fillId="0" borderId="10" xfId="43" applyNumberFormat="1" applyFont="1" applyFill="1" applyBorder="1" applyAlignment="1">
      <alignment horizontal="center" vertical="center"/>
    </xf>
    <xf numFmtId="4" fontId="13" fillId="0" borderId="10" xfId="43" applyNumberFormat="1" applyFont="1" applyFill="1" applyBorder="1" applyAlignment="1">
      <alignment horizontal="right" vertical="center"/>
    </xf>
    <xf numFmtId="2" fontId="35" fillId="0" borderId="10" xfId="0" applyNumberFormat="1" applyFont="1" applyFill="1" applyBorder="1" applyAlignment="1">
      <alignment horizontal="center" vertical="center"/>
    </xf>
    <xf numFmtId="49" fontId="13" fillId="0" borderId="10" xfId="43" applyNumberFormat="1" applyFont="1" applyFill="1" applyBorder="1" applyAlignment="1">
      <alignment horizontal="center" vertical="center"/>
    </xf>
    <xf numFmtId="0" fontId="28" fillId="13" borderId="10" xfId="62" applyFont="1" applyFill="1" applyBorder="1" applyAlignment="1">
      <alignment horizontal="center" vertical="center"/>
      <protection/>
    </xf>
    <xf numFmtId="0" fontId="19" fillId="38" borderId="10" xfId="0" applyFont="1" applyFill="1" applyBorder="1" applyAlignment="1">
      <alignment horizontal="center" vertical="center" wrapText="1"/>
    </xf>
    <xf numFmtId="0" fontId="12" fillId="36" borderId="10" xfId="55" applyFill="1" applyBorder="1" applyAlignment="1">
      <alignment horizontal="center" vertical="center"/>
    </xf>
    <xf numFmtId="0" fontId="19" fillId="36" borderId="10" xfId="0" applyFont="1" applyFill="1" applyBorder="1" applyAlignment="1">
      <alignment horizontal="center" vertical="center" wrapText="1"/>
    </xf>
    <xf numFmtId="2" fontId="92" fillId="0" borderId="10" xfId="0" applyNumberFormat="1" applyFont="1" applyBorder="1" applyAlignment="1">
      <alignment/>
    </xf>
    <xf numFmtId="0" fontId="6" fillId="0" borderId="10" xfId="0" applyFont="1" applyBorder="1" applyAlignment="1">
      <alignment/>
    </xf>
    <xf numFmtId="189" fontId="24" fillId="0" borderId="10" xfId="0" applyNumberFormat="1" applyFont="1" applyBorder="1" applyAlignment="1">
      <alignment/>
    </xf>
    <xf numFmtId="189" fontId="17" fillId="0" borderId="10" xfId="0" applyNumberFormat="1" applyFont="1" applyBorder="1" applyAlignment="1">
      <alignment/>
    </xf>
    <xf numFmtId="2" fontId="17" fillId="0" borderId="10" xfId="0" applyNumberFormat="1" applyFont="1" applyBorder="1" applyAlignment="1">
      <alignment/>
    </xf>
    <xf numFmtId="2" fontId="6" fillId="0" borderId="10" xfId="0" applyNumberFormat="1" applyFont="1" applyBorder="1" applyAlignment="1">
      <alignment/>
    </xf>
    <xf numFmtId="185" fontId="17" fillId="0" borderId="10" xfId="0" applyNumberFormat="1" applyFont="1" applyBorder="1" applyAlignment="1">
      <alignment/>
    </xf>
    <xf numFmtId="185" fontId="24" fillId="0" borderId="10" xfId="42" applyNumberFormat="1" applyFont="1" applyBorder="1" applyAlignment="1">
      <alignment/>
    </xf>
    <xf numFmtId="185" fontId="6" fillId="0" borderId="10" xfId="42" applyNumberFormat="1" applyFont="1" applyBorder="1" applyAlignment="1">
      <alignment/>
    </xf>
    <xf numFmtId="2" fontId="6" fillId="0" borderId="10" xfId="0" applyNumberFormat="1" applyFont="1" applyBorder="1" applyAlignment="1">
      <alignment vertical="center"/>
    </xf>
    <xf numFmtId="185" fontId="6" fillId="0" borderId="10" xfId="0" applyNumberFormat="1" applyFont="1" applyBorder="1" applyAlignment="1">
      <alignment vertical="center"/>
    </xf>
    <xf numFmtId="49" fontId="10" fillId="33" borderId="10" xfId="43" applyNumberFormat="1" applyFont="1" applyFill="1" applyBorder="1" applyAlignment="1">
      <alignment horizontal="center" vertical="center"/>
    </xf>
    <xf numFmtId="4" fontId="10" fillId="33" borderId="10" xfId="43" applyNumberFormat="1" applyFont="1" applyFill="1" applyBorder="1" applyAlignment="1">
      <alignment horizontal="right" vertical="center"/>
    </xf>
    <xf numFmtId="2" fontId="10" fillId="33" borderId="10" xfId="0" applyNumberFormat="1" applyFont="1" applyFill="1" applyBorder="1" applyAlignment="1">
      <alignment horizontal="left" vertical="center" wrapText="1"/>
    </xf>
    <xf numFmtId="2" fontId="6" fillId="33" borderId="10" xfId="43" applyNumberFormat="1" applyFont="1" applyFill="1" applyBorder="1" applyAlignment="1">
      <alignment horizontal="center" vertical="center"/>
    </xf>
    <xf numFmtId="2" fontId="6" fillId="36" borderId="10" xfId="43" applyNumberFormat="1" applyFont="1" applyFill="1" applyBorder="1" applyAlignment="1">
      <alignment horizontal="center" vertical="center"/>
    </xf>
    <xf numFmtId="2" fontId="13" fillId="9" borderId="10" xfId="43" applyNumberFormat="1" applyFont="1" applyFill="1" applyBorder="1" applyAlignment="1">
      <alignment horizontal="center" vertical="center"/>
    </xf>
    <xf numFmtId="4" fontId="13" fillId="9" borderId="10" xfId="43" applyNumberFormat="1" applyFont="1" applyFill="1" applyBorder="1" applyAlignment="1">
      <alignment horizontal="right" vertical="center"/>
    </xf>
    <xf numFmtId="2" fontId="35" fillId="9" borderId="10" xfId="0" applyNumberFormat="1" applyFont="1" applyFill="1" applyBorder="1" applyAlignment="1">
      <alignment horizontal="center" vertical="center"/>
    </xf>
    <xf numFmtId="49" fontId="13" fillId="9" borderId="10" xfId="43" applyNumberFormat="1" applyFont="1" applyFill="1" applyBorder="1" applyAlignment="1">
      <alignment horizontal="center" vertical="center"/>
    </xf>
    <xf numFmtId="205" fontId="82" fillId="0" borderId="10" xfId="0" applyNumberFormat="1" applyFont="1" applyBorder="1" applyAlignment="1">
      <alignment horizontal="center" vertical="center" wrapText="1"/>
    </xf>
    <xf numFmtId="49" fontId="6" fillId="0" borderId="14" xfId="0" applyNumberFormat="1" applyFont="1" applyFill="1" applyBorder="1" applyAlignment="1">
      <alignment horizontal="center" vertical="center"/>
    </xf>
    <xf numFmtId="49" fontId="6" fillId="0" borderId="14" xfId="0" applyNumberFormat="1" applyFont="1" applyFill="1" applyBorder="1" applyAlignment="1">
      <alignment horizontal="left" vertical="center"/>
    </xf>
    <xf numFmtId="3" fontId="79" fillId="0" borderId="10" xfId="0" applyNumberFormat="1" applyFont="1" applyBorder="1" applyAlignment="1">
      <alignment/>
    </xf>
    <xf numFmtId="3" fontId="0" fillId="0" borderId="0" xfId="0" applyNumberFormat="1" applyAlignment="1">
      <alignment/>
    </xf>
    <xf numFmtId="0" fontId="90" fillId="0" borderId="15" xfId="0" applyFont="1" applyBorder="1" applyAlignment="1">
      <alignment horizontal="right" vertical="center"/>
    </xf>
    <xf numFmtId="0" fontId="79" fillId="0" borderId="10" xfId="0" applyFont="1" applyBorder="1" applyAlignment="1">
      <alignment horizontal="center"/>
    </xf>
    <xf numFmtId="49" fontId="6" fillId="0" borderId="10" xfId="0" applyNumberFormat="1" applyFont="1" applyFill="1" applyBorder="1" applyAlignment="1" quotePrefix="1">
      <alignment vertical="center" wrapText="1"/>
    </xf>
    <xf numFmtId="49" fontId="6" fillId="0" borderId="10" xfId="0" applyNumberFormat="1" applyFont="1" applyFill="1" applyBorder="1" applyAlignment="1" quotePrefix="1">
      <alignment horizontal="left" vertical="center" wrapText="1"/>
    </xf>
    <xf numFmtId="3" fontId="6" fillId="0" borderId="10" xfId="0" applyNumberFormat="1" applyFont="1" applyBorder="1" applyAlignment="1">
      <alignment horizontal="right" vertical="center"/>
    </xf>
    <xf numFmtId="0" fontId="6" fillId="0" borderId="14" xfId="0" applyFont="1" applyBorder="1" applyAlignment="1">
      <alignment/>
    </xf>
    <xf numFmtId="2" fontId="10" fillId="0" borderId="10" xfId="0" applyNumberFormat="1" applyFont="1" applyFill="1" applyBorder="1" applyAlignment="1">
      <alignment vertical="center"/>
    </xf>
    <xf numFmtId="0" fontId="83" fillId="0" borderId="14" xfId="0" applyFont="1" applyBorder="1" applyAlignment="1">
      <alignment horizontal="center" vertical="center"/>
    </xf>
    <xf numFmtId="0" fontId="86" fillId="0" borderId="10" xfId="0" applyFont="1" applyBorder="1" applyAlignment="1">
      <alignment horizontal="center" vertical="center"/>
    </xf>
    <xf numFmtId="3" fontId="85" fillId="0" borderId="10" xfId="0" applyNumberFormat="1" applyFont="1" applyBorder="1" applyAlignment="1">
      <alignment horizontal="center" vertical="center"/>
    </xf>
    <xf numFmtId="2" fontId="86" fillId="0" borderId="10" xfId="0" applyNumberFormat="1" applyFont="1" applyBorder="1" applyAlignment="1">
      <alignment horizontal="center" vertical="center"/>
    </xf>
    <xf numFmtId="2" fontId="85" fillId="0" borderId="10" xfId="0" applyNumberFormat="1" applyFont="1" applyBorder="1" applyAlignment="1">
      <alignment horizontal="center" vertical="center"/>
    </xf>
    <xf numFmtId="0" fontId="6" fillId="0" borderId="14" xfId="0" applyFont="1" applyBorder="1" applyAlignment="1">
      <alignment horizontal="center" vertical="center"/>
    </xf>
    <xf numFmtId="0" fontId="28" fillId="13" borderId="10" xfId="62" applyFont="1" applyFill="1" applyBorder="1" applyAlignment="1">
      <alignment horizontal="center" vertical="center"/>
      <protection/>
    </xf>
    <xf numFmtId="0" fontId="19" fillId="38" borderId="10" xfId="0" applyFont="1" applyFill="1" applyBorder="1" applyAlignment="1">
      <alignment horizontal="center" vertical="center" wrapText="1"/>
    </xf>
    <xf numFmtId="0" fontId="12" fillId="36" borderId="10" xfId="55" applyFill="1" applyBorder="1" applyAlignment="1">
      <alignment horizontal="center" vertical="center"/>
    </xf>
    <xf numFmtId="0" fontId="19" fillId="36" borderId="10" xfId="0" applyFont="1" applyFill="1" applyBorder="1" applyAlignment="1">
      <alignment horizontal="center" vertical="center" wrapText="1"/>
    </xf>
    <xf numFmtId="4" fontId="6" fillId="0" borderId="10" xfId="0" applyNumberFormat="1" applyFont="1" applyBorder="1" applyAlignment="1">
      <alignment horizontal="center" vertical="center"/>
    </xf>
    <xf numFmtId="202" fontId="84" fillId="0" borderId="10" xfId="42" applyNumberFormat="1" applyFont="1" applyFill="1" applyBorder="1" applyAlignment="1">
      <alignment horizontal="right" vertical="center"/>
    </xf>
    <xf numFmtId="189" fontId="82" fillId="0" borderId="10" xfId="0" applyNumberFormat="1" applyFont="1" applyBorder="1" applyAlignment="1">
      <alignment/>
    </xf>
    <xf numFmtId="0" fontId="6" fillId="0" borderId="14" xfId="0" applyFont="1" applyBorder="1" applyAlignment="1" quotePrefix="1">
      <alignment horizontal="center" vertical="center"/>
    </xf>
    <xf numFmtId="0" fontId="6" fillId="0" borderId="14" xfId="0" applyFont="1" applyBorder="1" applyAlignment="1">
      <alignment vertical="center" wrapText="1"/>
    </xf>
    <xf numFmtId="2" fontId="6" fillId="0" borderId="14" xfId="0" applyNumberFormat="1" applyFont="1" applyBorder="1" applyAlignment="1">
      <alignment/>
    </xf>
    <xf numFmtId="185" fontId="6" fillId="0" borderId="14" xfId="0" applyNumberFormat="1" applyFont="1" applyBorder="1" applyAlignment="1">
      <alignment vertical="center"/>
    </xf>
    <xf numFmtId="0" fontId="24" fillId="0" borderId="10" xfId="0" applyFont="1" applyBorder="1" applyAlignment="1">
      <alignment horizontal="center" vertical="center"/>
    </xf>
    <xf numFmtId="0" fontId="24" fillId="0" borderId="10" xfId="0" applyFont="1" applyBorder="1" applyAlignment="1">
      <alignment vertical="center" wrapText="1"/>
    </xf>
    <xf numFmtId="0" fontId="24" fillId="0" borderId="10" xfId="0" applyFont="1" applyBorder="1" applyAlignment="1">
      <alignment horizontal="right" vertical="center"/>
    </xf>
    <xf numFmtId="0" fontId="10" fillId="0" borderId="0" xfId="0" applyFont="1" applyAlignment="1">
      <alignment horizontal="center" vertical="center" wrapText="1"/>
    </xf>
    <xf numFmtId="0" fontId="15" fillId="0" borderId="0" xfId="0" applyFont="1" applyAlignment="1">
      <alignment horizontal="center" vertical="center"/>
    </xf>
    <xf numFmtId="0" fontId="16" fillId="0" borderId="0" xfId="0" applyFont="1" applyAlignment="1">
      <alignment horizontal="center" vertical="center"/>
    </xf>
    <xf numFmtId="0" fontId="16" fillId="8" borderId="0" xfId="0" applyFont="1" applyFill="1" applyAlignment="1">
      <alignment horizontal="center" vertical="center" wrapText="1"/>
    </xf>
    <xf numFmtId="0" fontId="16" fillId="0" borderId="0" xfId="0" applyFont="1" applyAlignment="1">
      <alignment horizontal="center" vertical="top"/>
    </xf>
    <xf numFmtId="0" fontId="18" fillId="0" borderId="0" xfId="0" applyFont="1" applyAlignment="1">
      <alignment horizontal="center" vertical="center"/>
    </xf>
    <xf numFmtId="0" fontId="1" fillId="0" borderId="0" xfId="0" applyFont="1" applyAlignment="1">
      <alignment horizontal="center" vertical="center" wrapText="1"/>
    </xf>
    <xf numFmtId="0" fontId="0" fillId="0" borderId="17" xfId="0" applyBorder="1" applyAlignment="1">
      <alignment horizontal="center"/>
    </xf>
    <xf numFmtId="0" fontId="0" fillId="0" borderId="0" xfId="0" applyAlignment="1">
      <alignment horizontal="center"/>
    </xf>
    <xf numFmtId="0" fontId="16" fillId="0" borderId="17" xfId="0" applyFont="1" applyBorder="1" applyAlignment="1" quotePrefix="1">
      <alignment horizontal="center" vertical="center" wrapText="1"/>
    </xf>
    <xf numFmtId="0" fontId="16" fillId="0" borderId="0" xfId="0" applyFont="1" applyAlignment="1">
      <alignment horizontal="center" vertical="center" wrapText="1"/>
    </xf>
    <xf numFmtId="3" fontId="21" fillId="0" borderId="10" xfId="61" applyNumberFormat="1" applyFont="1" applyBorder="1" applyAlignment="1">
      <alignment horizontal="center" vertical="center" wrapText="1"/>
      <protection/>
    </xf>
    <xf numFmtId="3" fontId="22" fillId="0" borderId="10" xfId="61" applyNumberFormat="1" applyFont="1" applyBorder="1" applyAlignment="1">
      <alignment horizontal="center" vertical="center" wrapText="1"/>
      <protection/>
    </xf>
    <xf numFmtId="3" fontId="16" fillId="0" borderId="18" xfId="61" applyNumberFormat="1" applyFont="1" applyBorder="1" applyAlignment="1">
      <alignment horizontal="center" vertical="center" wrapText="1"/>
      <protection/>
    </xf>
    <xf numFmtId="3" fontId="16" fillId="0" borderId="14" xfId="61" applyNumberFormat="1" applyFont="1" applyBorder="1" applyAlignment="1">
      <alignment horizontal="center" vertical="center" wrapText="1"/>
      <protection/>
    </xf>
    <xf numFmtId="0" fontId="10" fillId="0" borderId="0" xfId="0" applyFont="1" applyAlignment="1">
      <alignment horizontal="center" vertical="top" wrapText="1"/>
    </xf>
    <xf numFmtId="0" fontId="10" fillId="0" borderId="0" xfId="0" applyFont="1" applyAlignment="1">
      <alignment horizontal="center" vertical="top" wrapText="1"/>
    </xf>
    <xf numFmtId="0" fontId="10" fillId="0" borderId="18"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1" xfId="0" applyFont="1" applyBorder="1" applyAlignment="1">
      <alignment horizontal="center" vertical="center"/>
    </xf>
    <xf numFmtId="0" fontId="10" fillId="0" borderId="19" xfId="0" applyFont="1" applyBorder="1" applyAlignment="1">
      <alignment horizontal="center" vertical="center"/>
    </xf>
    <xf numFmtId="0" fontId="10" fillId="0" borderId="15" xfId="0" applyFont="1" applyBorder="1" applyAlignment="1">
      <alignment horizontal="center" vertical="center"/>
    </xf>
    <xf numFmtId="0" fontId="10" fillId="0" borderId="10" xfId="0" applyFont="1" applyBorder="1" applyAlignment="1">
      <alignment horizontal="center" vertical="center"/>
    </xf>
    <xf numFmtId="4" fontId="6" fillId="0" borderId="18" xfId="0" applyNumberFormat="1" applyFont="1" applyBorder="1" applyAlignment="1">
      <alignment horizontal="center" vertical="center" wrapText="1"/>
    </xf>
    <xf numFmtId="4" fontId="6" fillId="0" borderId="16" xfId="0" applyNumberFormat="1" applyFont="1" applyBorder="1" applyAlignment="1">
      <alignment horizontal="center" vertical="center" wrapText="1"/>
    </xf>
    <xf numFmtId="4" fontId="6" fillId="0" borderId="14" xfId="0" applyNumberFormat="1" applyFont="1" applyBorder="1" applyAlignment="1">
      <alignment horizontal="center" vertical="center" wrapText="1"/>
    </xf>
    <xf numFmtId="0" fontId="10" fillId="0" borderId="10" xfId="0" applyFont="1" applyBorder="1" applyAlignment="1">
      <alignment horizontal="center" vertical="center" wrapText="1"/>
    </xf>
    <xf numFmtId="0" fontId="10" fillId="0" borderId="0" xfId="0" applyFont="1" applyAlignment="1">
      <alignment horizontal="left" vertical="top"/>
    </xf>
    <xf numFmtId="0" fontId="16" fillId="0" borderId="0" xfId="0" applyFont="1" applyAlignment="1">
      <alignment horizontal="center" vertical="top" wrapText="1"/>
    </xf>
    <xf numFmtId="0" fontId="16" fillId="0" borderId="12" xfId="0" applyFont="1" applyBorder="1" applyAlignment="1">
      <alignment horizontal="center" vertical="center" wrapText="1"/>
    </xf>
    <xf numFmtId="0" fontId="16" fillId="0" borderId="0" xfId="0" applyFont="1" applyAlignment="1" quotePrefix="1">
      <alignment horizontal="center" vertical="center" wrapText="1"/>
    </xf>
    <xf numFmtId="0" fontId="83" fillId="0" borderId="18" xfId="0" applyFont="1" applyBorder="1" applyAlignment="1">
      <alignment horizontal="center" vertical="center"/>
    </xf>
    <xf numFmtId="0" fontId="83" fillId="0" borderId="16" xfId="0" applyFont="1" applyBorder="1" applyAlignment="1">
      <alignment horizontal="center" vertical="center"/>
    </xf>
    <xf numFmtId="0" fontId="79" fillId="0" borderId="10" xfId="0" applyFont="1" applyBorder="1" applyAlignment="1">
      <alignment horizontal="center"/>
    </xf>
    <xf numFmtId="189" fontId="24" fillId="0" borderId="18" xfId="42" applyNumberFormat="1" applyFont="1" applyBorder="1" applyAlignment="1">
      <alignment horizontal="right" vertical="center"/>
    </xf>
    <xf numFmtId="189" fontId="24" fillId="0" borderId="14" xfId="42" applyNumberFormat="1" applyFont="1" applyBorder="1" applyAlignment="1">
      <alignment horizontal="right" vertical="center"/>
    </xf>
    <xf numFmtId="0" fontId="10" fillId="0" borderId="18"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5" fillId="0" borderId="11" xfId="60" applyFont="1" applyBorder="1" applyAlignment="1">
      <alignment horizontal="left" vertical="center" wrapText="1"/>
      <protection/>
    </xf>
    <xf numFmtId="0" fontId="15" fillId="0" borderId="19" xfId="60" applyFont="1" applyBorder="1" applyAlignment="1">
      <alignment horizontal="left" vertical="center" wrapText="1"/>
      <protection/>
    </xf>
    <xf numFmtId="0" fontId="10" fillId="0" borderId="11"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5" fillId="0" borderId="10" xfId="60" applyFont="1" applyBorder="1" applyAlignment="1">
      <alignment horizontal="left" vertical="center" wrapText="1"/>
      <protection/>
    </xf>
    <xf numFmtId="185" fontId="24" fillId="0" borderId="18" xfId="42" applyNumberFormat="1" applyFont="1" applyBorder="1" applyAlignment="1">
      <alignment horizontal="right" vertical="center"/>
    </xf>
    <xf numFmtId="185" fontId="24" fillId="0" borderId="14" xfId="42" applyNumberFormat="1" applyFont="1" applyBorder="1" applyAlignment="1">
      <alignment horizontal="right" vertical="center"/>
    </xf>
    <xf numFmtId="0" fontId="10" fillId="0" borderId="0" xfId="0" applyFont="1" applyAlignment="1">
      <alignment horizontal="center" vertical="top"/>
    </xf>
    <xf numFmtId="0" fontId="16" fillId="0" borderId="0" xfId="60" applyFont="1" applyAlignment="1">
      <alignment horizontal="center" vertical="center"/>
      <protection/>
    </xf>
    <xf numFmtId="0" fontId="16" fillId="0" borderId="10" xfId="60" applyFont="1" applyBorder="1" applyAlignment="1">
      <alignment horizontal="center" vertical="center" wrapText="1"/>
      <protection/>
    </xf>
    <xf numFmtId="0" fontId="6" fillId="0" borderId="18" xfId="0" applyFont="1" applyBorder="1" applyAlignment="1">
      <alignment horizontal="left" vertical="center"/>
    </xf>
    <xf numFmtId="0" fontId="6" fillId="0" borderId="14" xfId="0" applyFont="1" applyBorder="1" applyAlignment="1">
      <alignment horizontal="left" vertical="center"/>
    </xf>
    <xf numFmtId="0" fontId="6" fillId="0" borderId="18" xfId="0" applyFont="1" applyBorder="1" applyAlignment="1">
      <alignment horizontal="center" vertical="center"/>
    </xf>
    <xf numFmtId="0" fontId="6" fillId="0" borderId="14" xfId="0" applyFont="1" applyBorder="1" applyAlignment="1">
      <alignment horizontal="center" vertical="center"/>
    </xf>
    <xf numFmtId="190" fontId="24" fillId="0" borderId="18" xfId="42" applyNumberFormat="1" applyFont="1" applyBorder="1" applyAlignment="1">
      <alignment horizontal="right" vertical="center"/>
    </xf>
    <xf numFmtId="190" fontId="24" fillId="0" borderId="14" xfId="42" applyNumberFormat="1" applyFont="1" applyBorder="1" applyAlignment="1">
      <alignment horizontal="right" vertical="center"/>
    </xf>
    <xf numFmtId="0" fontId="10" fillId="0" borderId="11" xfId="0" applyFont="1" applyBorder="1" applyAlignment="1" quotePrefix="1">
      <alignment horizontal="center" vertical="center"/>
    </xf>
    <xf numFmtId="0" fontId="10" fillId="0" borderId="19" xfId="0" applyFont="1" applyBorder="1" applyAlignment="1" quotePrefix="1">
      <alignment horizontal="center" vertical="center"/>
    </xf>
    <xf numFmtId="0" fontId="10" fillId="0" borderId="15" xfId="0" applyFont="1" applyBorder="1" applyAlignment="1" quotePrefix="1">
      <alignment horizontal="center" vertical="center"/>
    </xf>
    <xf numFmtId="0" fontId="10" fillId="0" borderId="10" xfId="0" applyFont="1" applyFill="1" applyBorder="1" applyAlignment="1">
      <alignment horizontal="center" vertical="center" wrapText="1"/>
    </xf>
    <xf numFmtId="1" fontId="82" fillId="0" borderId="11" xfId="0" applyNumberFormat="1" applyFont="1" applyBorder="1" applyAlignment="1">
      <alignment horizontal="center" vertical="center" wrapText="1"/>
    </xf>
    <xf numFmtId="1" fontId="82" fillId="0" borderId="15" xfId="0" applyNumberFormat="1" applyFont="1" applyBorder="1" applyAlignment="1">
      <alignment horizontal="center" vertical="center" wrapText="1"/>
    </xf>
    <xf numFmtId="0" fontId="16" fillId="0" borderId="12" xfId="0" applyFont="1" applyBorder="1" applyAlignment="1">
      <alignment horizontal="left" vertical="center" wrapText="1"/>
    </xf>
    <xf numFmtId="0" fontId="16" fillId="0" borderId="0" xfId="0" applyFont="1" applyBorder="1" applyAlignment="1">
      <alignment horizontal="left" vertical="center" wrapText="1"/>
    </xf>
    <xf numFmtId="0" fontId="16" fillId="0" borderId="0" xfId="0" applyFont="1" applyBorder="1" applyAlignment="1">
      <alignment horizontal="center" vertical="center" wrapText="1"/>
    </xf>
    <xf numFmtId="0" fontId="18" fillId="0" borderId="0" xfId="0" applyFont="1" applyAlignment="1">
      <alignment horizontal="left" vertical="center"/>
    </xf>
    <xf numFmtId="0" fontId="10" fillId="0" borderId="20" xfId="0" applyFont="1" applyBorder="1" applyAlignment="1">
      <alignment horizontal="left"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23" xfId="0" applyFont="1" applyBorder="1" applyAlignment="1">
      <alignment horizontal="center" vertical="center" wrapText="1"/>
    </xf>
    <xf numFmtId="2" fontId="16" fillId="0" borderId="11" xfId="0" applyNumberFormat="1" applyFont="1" applyBorder="1" applyAlignment="1">
      <alignment horizontal="center" vertical="center" wrapText="1"/>
    </xf>
    <xf numFmtId="2" fontId="16" fillId="0" borderId="15" xfId="0" applyNumberFormat="1" applyFont="1" applyBorder="1" applyAlignment="1">
      <alignment horizontal="center" vertical="center" wrapText="1"/>
    </xf>
    <xf numFmtId="0" fontId="3" fillId="0" borderId="10" xfId="0" applyFont="1" applyBorder="1" applyAlignment="1">
      <alignment horizontal="center" wrapText="1"/>
    </xf>
    <xf numFmtId="2" fontId="15" fillId="0" borderId="11" xfId="0" applyNumberFormat="1" applyFont="1" applyBorder="1" applyAlignment="1">
      <alignment horizontal="center" vertical="center" wrapText="1"/>
    </xf>
    <xf numFmtId="2" fontId="15" fillId="0" borderId="15" xfId="0" applyNumberFormat="1" applyFont="1" applyBorder="1" applyAlignment="1">
      <alignment horizontal="center" vertical="center" wrapText="1"/>
    </xf>
    <xf numFmtId="0" fontId="16"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5" xfId="0" applyFont="1" applyBorder="1" applyAlignment="1">
      <alignment horizontal="center" vertical="center" wrapText="1"/>
    </xf>
    <xf numFmtId="0" fontId="3" fillId="0" borderId="0" xfId="0"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Font="1" applyBorder="1" applyAlignment="1">
      <alignment horizontal="left" vertical="center" wrapText="1"/>
    </xf>
    <xf numFmtId="0" fontId="1" fillId="6" borderId="10" xfId="0" applyFont="1" applyFill="1" applyBorder="1" applyAlignment="1">
      <alignment horizontal="center" vertical="center"/>
    </xf>
    <xf numFmtId="0" fontId="28" fillId="13" borderId="10" xfId="62" applyFont="1" applyFill="1" applyBorder="1" applyAlignment="1">
      <alignment horizontal="center" vertical="center"/>
      <protection/>
    </xf>
    <xf numFmtId="49" fontId="10" fillId="0" borderId="18" xfId="0" applyNumberFormat="1" applyFont="1" applyFill="1" applyBorder="1" applyAlignment="1">
      <alignment horizontal="center" vertical="center"/>
    </xf>
    <xf numFmtId="49" fontId="10" fillId="0" borderId="14" xfId="0" applyNumberFormat="1" applyFont="1" applyFill="1" applyBorder="1" applyAlignment="1">
      <alignment horizontal="center" vertical="center"/>
    </xf>
    <xf numFmtId="49" fontId="10" fillId="0" borderId="18" xfId="0" applyNumberFormat="1" applyFont="1" applyFill="1" applyBorder="1" applyAlignment="1">
      <alignment horizontal="center" vertical="center" wrapText="1"/>
    </xf>
    <xf numFmtId="49" fontId="10" fillId="0" borderId="14"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2" fontId="10" fillId="0" borderId="10" xfId="0" applyNumberFormat="1" applyFont="1" applyFill="1" applyBorder="1" applyAlignment="1">
      <alignment horizontal="right" vertical="center"/>
    </xf>
    <xf numFmtId="2" fontId="10" fillId="0" borderId="10" xfId="0" applyNumberFormat="1" applyFont="1" applyFill="1" applyBorder="1" applyAlignment="1">
      <alignment horizontal="center" vertical="center"/>
    </xf>
    <xf numFmtId="49" fontId="10" fillId="0" borderId="11" xfId="0" applyNumberFormat="1" applyFont="1" applyFill="1" applyBorder="1" applyAlignment="1">
      <alignment horizontal="center" vertical="center"/>
    </xf>
    <xf numFmtId="49" fontId="10" fillId="0" borderId="15"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15" xfId="0" applyFont="1" applyFill="1" applyBorder="1" applyAlignment="1">
      <alignment horizontal="center" vertical="center" wrapText="1"/>
    </xf>
    <xf numFmtId="49" fontId="6" fillId="0" borderId="18"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0" fontId="6" fillId="0" borderId="18" xfId="0" applyFont="1" applyFill="1" applyBorder="1" applyAlignment="1">
      <alignment horizontal="left" vertical="center" wrapText="1"/>
    </xf>
    <xf numFmtId="0" fontId="6" fillId="0" borderId="14" xfId="0" applyFont="1" applyFill="1" applyBorder="1" applyAlignment="1">
      <alignment horizontal="left" vertical="center" wrapText="1"/>
    </xf>
    <xf numFmtId="49" fontId="6" fillId="0" borderId="10" xfId="43" applyNumberFormat="1" applyFont="1" applyFill="1" applyBorder="1" applyAlignment="1">
      <alignment horizontal="center" vertical="center"/>
    </xf>
    <xf numFmtId="4" fontId="6" fillId="0" borderId="10" xfId="43" applyNumberFormat="1" applyFont="1" applyFill="1" applyBorder="1" applyAlignment="1">
      <alignment horizontal="right" vertical="center"/>
    </xf>
    <xf numFmtId="0" fontId="12" fillId="0" borderId="10" xfId="55" applyBorder="1" applyAlignment="1">
      <alignment horizontal="center" vertical="center"/>
    </xf>
    <xf numFmtId="0" fontId="19" fillId="38" borderId="10" xfId="0" applyFont="1" applyFill="1" applyBorder="1" applyAlignment="1">
      <alignment horizontal="center" vertical="center" wrapText="1"/>
    </xf>
    <xf numFmtId="0" fontId="6" fillId="0" borderId="15" xfId="0" applyFont="1" applyFill="1" applyBorder="1" applyAlignment="1">
      <alignment horizontal="center" vertical="center"/>
    </xf>
    <xf numFmtId="49" fontId="6" fillId="0" borderId="10" xfId="43" applyNumberFormat="1" applyFont="1" applyFill="1" applyBorder="1" applyAlignment="1">
      <alignment horizontal="center" vertical="center" wrapText="1"/>
    </xf>
    <xf numFmtId="0" fontId="6" fillId="0" borderId="10" xfId="43" applyNumberFormat="1" applyFont="1" applyFill="1" applyBorder="1" applyAlignment="1">
      <alignment horizontal="center" vertical="center"/>
    </xf>
    <xf numFmtId="49" fontId="6" fillId="0" borderId="18" xfId="0" applyNumberFormat="1" applyFont="1" applyFill="1" applyBorder="1" applyAlignment="1">
      <alignment horizontal="left" vertical="center" wrapText="1"/>
    </xf>
    <xf numFmtId="49" fontId="6" fillId="0" borderId="14" xfId="0" applyNumberFormat="1" applyFont="1" applyFill="1" applyBorder="1" applyAlignment="1">
      <alignment horizontal="left" vertical="center" wrapText="1"/>
    </xf>
    <xf numFmtId="185" fontId="6" fillId="0" borderId="10" xfId="43" applyNumberFormat="1" applyFont="1" applyFill="1" applyBorder="1" applyAlignment="1">
      <alignment horizontal="center" vertical="center"/>
    </xf>
    <xf numFmtId="2" fontId="6" fillId="0" borderId="10" xfId="43" applyNumberFormat="1" applyFont="1" applyFill="1" applyBorder="1" applyAlignment="1">
      <alignment horizontal="center" vertical="center"/>
    </xf>
    <xf numFmtId="0" fontId="19" fillId="0" borderId="10" xfId="0" applyFont="1" applyBorder="1" applyAlignment="1">
      <alignment horizontal="center" vertical="center"/>
    </xf>
    <xf numFmtId="0" fontId="19" fillId="0" borderId="10" xfId="0" applyFont="1" applyBorder="1" applyAlignment="1">
      <alignment horizontal="center" vertical="center" wrapText="1"/>
    </xf>
    <xf numFmtId="49" fontId="6" fillId="0" borderId="18" xfId="0" applyNumberFormat="1" applyFont="1" applyFill="1" applyBorder="1" applyAlignment="1">
      <alignment horizontal="left" vertical="center"/>
    </xf>
    <xf numFmtId="49" fontId="6" fillId="0" borderId="14" xfId="0" applyNumberFormat="1" applyFont="1" applyFill="1" applyBorder="1" applyAlignment="1">
      <alignment horizontal="left" vertical="center"/>
    </xf>
    <xf numFmtId="0" fontId="6" fillId="0" borderId="10" xfId="0" applyFont="1" applyFill="1" applyBorder="1" applyAlignment="1">
      <alignment horizontal="left" vertical="center" wrapText="1"/>
    </xf>
    <xf numFmtId="49" fontId="6" fillId="0" borderId="11" xfId="0" applyNumberFormat="1" applyFont="1" applyFill="1" applyBorder="1" applyAlignment="1">
      <alignment horizontal="center" vertical="center"/>
    </xf>
    <xf numFmtId="2" fontId="6" fillId="0" borderId="10" xfId="43" applyNumberFormat="1" applyFont="1" applyFill="1" applyBorder="1" applyAlignment="1">
      <alignment horizontal="center" vertical="center" wrapText="1"/>
    </xf>
    <xf numFmtId="0" fontId="6" fillId="0" borderId="21" xfId="0" applyNumberFormat="1" applyFont="1" applyFill="1" applyBorder="1" applyAlignment="1">
      <alignment horizontal="center" vertical="center"/>
    </xf>
    <xf numFmtId="0" fontId="6" fillId="0" borderId="13" xfId="0" applyNumberFormat="1" applyFont="1" applyFill="1" applyBorder="1" applyAlignment="1">
      <alignment horizontal="center" vertical="center"/>
    </xf>
    <xf numFmtId="0" fontId="12" fillId="38" borderId="10" xfId="55" applyFill="1" applyBorder="1" applyAlignment="1">
      <alignment horizontal="center" vertical="center"/>
    </xf>
    <xf numFmtId="0" fontId="6" fillId="0" borderId="18" xfId="0" applyFont="1" applyFill="1" applyBorder="1" applyAlignment="1">
      <alignment horizontal="left" vertical="center"/>
    </xf>
    <xf numFmtId="0" fontId="6" fillId="0" borderId="14" xfId="0" applyFont="1" applyFill="1" applyBorder="1" applyAlignment="1">
      <alignment horizontal="left" vertical="center"/>
    </xf>
    <xf numFmtId="0" fontId="6" fillId="0" borderId="11" xfId="0" applyFont="1" applyFill="1" applyBorder="1" applyAlignment="1">
      <alignment horizontal="center" vertical="center"/>
    </xf>
    <xf numFmtId="49" fontId="6" fillId="0" borderId="10" xfId="0" applyNumberFormat="1" applyFont="1" applyFill="1" applyBorder="1" applyAlignment="1">
      <alignment horizontal="center" vertical="center"/>
    </xf>
    <xf numFmtId="49" fontId="6" fillId="0" borderId="10" xfId="0" applyNumberFormat="1" applyFont="1" applyFill="1" applyBorder="1" applyAlignment="1">
      <alignment horizontal="left" vertical="center" wrapText="1"/>
    </xf>
    <xf numFmtId="2" fontId="6" fillId="0" borderId="10" xfId="0" applyNumberFormat="1" applyFont="1" applyFill="1" applyBorder="1" applyAlignment="1">
      <alignment horizontal="center" vertical="center"/>
    </xf>
    <xf numFmtId="2" fontId="6" fillId="0" borderId="21" xfId="0" applyNumberFormat="1" applyFont="1" applyFill="1" applyBorder="1" applyAlignment="1">
      <alignment horizontal="center" vertical="center"/>
    </xf>
    <xf numFmtId="2" fontId="6" fillId="0" borderId="13" xfId="0" applyNumberFormat="1" applyFont="1" applyFill="1" applyBorder="1" applyAlignment="1">
      <alignment horizontal="center" vertical="center"/>
    </xf>
    <xf numFmtId="0" fontId="12" fillId="17" borderId="10" xfId="55" applyFill="1" applyBorder="1" applyAlignment="1">
      <alignment horizontal="center" vertical="center"/>
    </xf>
    <xf numFmtId="0" fontId="19" fillId="17" borderId="10" xfId="0" applyFont="1" applyFill="1" applyBorder="1" applyAlignment="1">
      <alignment horizontal="center" vertical="center" wrapText="1"/>
    </xf>
    <xf numFmtId="0" fontId="19" fillId="38" borderId="18" xfId="0" applyFont="1" applyFill="1" applyBorder="1" applyAlignment="1">
      <alignment horizontal="center" vertical="center" wrapText="1"/>
    </xf>
    <xf numFmtId="0" fontId="19" fillId="38" borderId="14" xfId="0" applyFont="1" applyFill="1" applyBorder="1" applyAlignment="1">
      <alignment horizontal="center" vertical="center" wrapText="1"/>
    </xf>
    <xf numFmtId="3" fontId="6" fillId="0" borderId="10" xfId="0" applyNumberFormat="1" applyFont="1" applyFill="1" applyBorder="1" applyAlignment="1">
      <alignment horizontal="center" vertical="center"/>
    </xf>
    <xf numFmtId="0" fontId="12" fillId="36" borderId="10" xfId="55" applyFill="1" applyBorder="1" applyAlignment="1">
      <alignment horizontal="center" vertical="center"/>
    </xf>
    <xf numFmtId="0" fontId="19" fillId="36" borderId="10" xfId="0" applyFont="1" applyFill="1" applyBorder="1" applyAlignment="1">
      <alignment horizontal="center" vertical="center" wrapText="1"/>
    </xf>
    <xf numFmtId="0" fontId="12" fillId="0" borderId="10" xfId="55" applyFill="1" applyBorder="1" applyAlignment="1">
      <alignment horizontal="center" vertical="center"/>
    </xf>
    <xf numFmtId="0" fontId="19" fillId="0" borderId="10" xfId="0" applyFont="1" applyFill="1" applyBorder="1" applyAlignment="1">
      <alignment horizontal="center" vertical="center" wrapText="1"/>
    </xf>
    <xf numFmtId="49" fontId="13" fillId="0" borderId="21" xfId="0" applyNumberFormat="1" applyFont="1" applyFill="1" applyBorder="1" applyAlignment="1">
      <alignment horizontal="center" vertical="center"/>
    </xf>
    <xf numFmtId="49" fontId="13" fillId="0" borderId="13"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xf>
    <xf numFmtId="1" fontId="6" fillId="0" borderId="10" xfId="43" applyNumberFormat="1" applyFont="1" applyFill="1" applyBorder="1" applyAlignment="1">
      <alignment horizontal="center" vertical="center"/>
    </xf>
    <xf numFmtId="0" fontId="12" fillId="13" borderId="10" xfId="55" applyFill="1" applyBorder="1" applyAlignment="1">
      <alignment horizontal="center" vertical="center"/>
    </xf>
    <xf numFmtId="0" fontId="19" fillId="13" borderId="10" xfId="0" applyFont="1" applyFill="1" applyBorder="1" applyAlignment="1">
      <alignment horizontal="center" vertical="center" wrapText="1"/>
    </xf>
    <xf numFmtId="2" fontId="6" fillId="0" borderId="10" xfId="0" applyNumberFormat="1" applyFont="1" applyFill="1" applyBorder="1" applyAlignment="1">
      <alignment horizontal="center" vertical="center" wrapText="1"/>
    </xf>
    <xf numFmtId="0" fontId="6" fillId="0" borderId="11" xfId="0" applyFont="1" applyFill="1" applyBorder="1" applyAlignment="1">
      <alignment horizontal="center" vertical="top" wrapText="1"/>
    </xf>
    <xf numFmtId="0" fontId="6" fillId="0" borderId="15" xfId="0" applyFont="1" applyFill="1" applyBorder="1" applyAlignment="1">
      <alignment horizontal="center" vertical="top" wrapText="1"/>
    </xf>
    <xf numFmtId="0" fontId="12" fillId="39" borderId="10" xfId="55" applyFill="1" applyBorder="1" applyAlignment="1">
      <alignment horizontal="center" vertical="center"/>
    </xf>
    <xf numFmtId="0" fontId="19" fillId="39" borderId="10" xfId="0" applyFont="1" applyFill="1" applyBorder="1" applyAlignment="1">
      <alignment horizontal="center" vertical="center" wrapText="1"/>
    </xf>
    <xf numFmtId="0" fontId="6" fillId="0" borderId="11" xfId="0" applyFont="1" applyFill="1" applyBorder="1" applyAlignment="1">
      <alignment horizontal="center"/>
    </xf>
    <xf numFmtId="0" fontId="6" fillId="0" borderId="15" xfId="0" applyFont="1" applyFill="1" applyBorder="1" applyAlignment="1">
      <alignment horizontal="center"/>
    </xf>
    <xf numFmtId="0" fontId="6" fillId="0" borderId="10" xfId="0" applyFont="1" applyFill="1" applyBorder="1" applyAlignment="1">
      <alignment horizontal="center" vertical="center"/>
    </xf>
    <xf numFmtId="49" fontId="10" fillId="0" borderId="18" xfId="0" applyNumberFormat="1" applyFont="1" applyFill="1" applyBorder="1" applyAlignment="1">
      <alignment horizontal="left" vertical="center"/>
    </xf>
    <xf numFmtId="49" fontId="10" fillId="0" borderId="14" xfId="0" applyNumberFormat="1" applyFont="1" applyFill="1" applyBorder="1" applyAlignment="1">
      <alignment horizontal="left" vertical="center"/>
    </xf>
    <xf numFmtId="0" fontId="6" fillId="0" borderId="11" xfId="0" applyFont="1" applyFill="1" applyBorder="1" applyAlignment="1">
      <alignment horizontal="left" wrapText="1"/>
    </xf>
    <xf numFmtId="0" fontId="6" fillId="0" borderId="15" xfId="0" applyFont="1" applyFill="1" applyBorder="1" applyAlignment="1">
      <alignment horizontal="left" wrapText="1"/>
    </xf>
    <xf numFmtId="4" fontId="6" fillId="0" borderId="10" xfId="43" applyNumberFormat="1" applyFont="1" applyFill="1" applyBorder="1" applyAlignment="1">
      <alignment horizontal="right" vertical="center" wrapText="1"/>
    </xf>
    <xf numFmtId="0" fontId="21" fillId="0" borderId="0" xfId="0" applyFont="1" applyFill="1" applyBorder="1" applyAlignment="1">
      <alignment horizontal="center"/>
    </xf>
    <xf numFmtId="0" fontId="21" fillId="0" borderId="0" xfId="0" applyFont="1" applyFill="1" applyBorder="1" applyAlignment="1">
      <alignment horizontal="center" wrapText="1"/>
    </xf>
    <xf numFmtId="0" fontId="29" fillId="0" borderId="10" xfId="0" applyFont="1" applyBorder="1" applyAlignment="1">
      <alignment horizontal="center" vertical="center" wrapText="1"/>
    </xf>
    <xf numFmtId="0" fontId="7" fillId="0" borderId="0" xfId="0" applyFont="1" applyFill="1" applyBorder="1" applyAlignment="1">
      <alignment horizontal="center"/>
    </xf>
    <xf numFmtId="0" fontId="7" fillId="0" borderId="12" xfId="0" applyFont="1" applyFill="1" applyBorder="1" applyAlignment="1">
      <alignment horizontal="center"/>
    </xf>
    <xf numFmtId="49" fontId="10" fillId="0" borderId="11" xfId="0" applyNumberFormat="1" applyFont="1" applyFill="1" applyBorder="1" applyAlignment="1">
      <alignment horizontal="center" vertical="center" wrapText="1"/>
    </xf>
    <xf numFmtId="49" fontId="10" fillId="0" borderId="19" xfId="0" applyNumberFormat="1" applyFont="1" applyFill="1" applyBorder="1" applyAlignment="1">
      <alignment horizontal="center" vertical="center" wrapText="1"/>
    </xf>
    <xf numFmtId="49" fontId="10" fillId="0" borderId="15" xfId="0" applyNumberFormat="1" applyFont="1" applyFill="1" applyBorder="1" applyAlignment="1">
      <alignment horizontal="center" vertical="center" wrapText="1"/>
    </xf>
    <xf numFmtId="49" fontId="10" fillId="4" borderId="11"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0" fontId="6" fillId="0" borderId="18" xfId="0" applyFont="1" applyBorder="1" applyAlignment="1">
      <alignment horizontal="left" vertical="center" wrapText="1"/>
    </xf>
    <xf numFmtId="0" fontId="6" fillId="0" borderId="14" xfId="0" applyFont="1" applyBorder="1" applyAlignment="1">
      <alignment horizontal="left" vertical="center" wrapText="1"/>
    </xf>
    <xf numFmtId="49" fontId="10" fillId="33" borderId="18" xfId="0" applyNumberFormat="1" applyFont="1" applyFill="1" applyBorder="1" applyAlignment="1">
      <alignment horizontal="center" vertical="center"/>
    </xf>
    <xf numFmtId="49" fontId="10" fillId="33" borderId="14" xfId="0" applyNumberFormat="1" applyFont="1" applyFill="1" applyBorder="1" applyAlignment="1">
      <alignment horizontal="center" vertical="center"/>
    </xf>
    <xf numFmtId="49" fontId="10" fillId="33" borderId="18" xfId="0" applyNumberFormat="1" applyFont="1" applyFill="1" applyBorder="1" applyAlignment="1">
      <alignment horizontal="center" vertical="center" wrapText="1"/>
    </xf>
    <xf numFmtId="49" fontId="10" fillId="33" borderId="14" xfId="0" applyNumberFormat="1" applyFont="1" applyFill="1" applyBorder="1" applyAlignment="1">
      <alignment horizontal="center" vertical="center" wrapText="1"/>
    </xf>
    <xf numFmtId="49" fontId="10" fillId="33" borderId="10" xfId="0" applyNumberFormat="1" applyFont="1" applyFill="1" applyBorder="1" applyAlignment="1">
      <alignment horizontal="center" vertical="center" wrapText="1"/>
    </xf>
    <xf numFmtId="2" fontId="10" fillId="33" borderId="10" xfId="0" applyNumberFormat="1" applyFont="1" applyFill="1" applyBorder="1" applyAlignment="1">
      <alignment horizontal="right" vertical="center"/>
    </xf>
    <xf numFmtId="0" fontId="6" fillId="0" borderId="11"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5" xfId="0" applyFont="1" applyBorder="1" applyAlignment="1">
      <alignment horizontal="center" vertical="center"/>
    </xf>
    <xf numFmtId="0" fontId="6" fillId="6" borderId="11" xfId="0" applyFont="1" applyFill="1" applyBorder="1" applyAlignment="1">
      <alignment horizontal="center" vertical="center" wrapText="1"/>
    </xf>
    <xf numFmtId="0" fontId="6" fillId="6" borderId="15" xfId="0" applyFont="1" applyFill="1" applyBorder="1" applyAlignment="1">
      <alignment horizontal="center" vertical="center" wrapText="1"/>
    </xf>
    <xf numFmtId="0" fontId="6" fillId="0" borderId="10" xfId="0" applyFont="1" applyBorder="1" applyAlignment="1">
      <alignment horizontal="left" vertical="center" wrapText="1"/>
    </xf>
    <xf numFmtId="2" fontId="6" fillId="12" borderId="10" xfId="43" applyNumberFormat="1" applyFont="1" applyFill="1" applyBorder="1" applyAlignment="1">
      <alignment horizontal="center" vertical="center"/>
    </xf>
    <xf numFmtId="4" fontId="6" fillId="12" borderId="10" xfId="43" applyNumberFormat="1" applyFont="1" applyFill="1" applyBorder="1" applyAlignment="1">
      <alignment horizontal="right" vertical="center"/>
    </xf>
    <xf numFmtId="2" fontId="10" fillId="12" borderId="10" xfId="0" applyNumberFormat="1" applyFont="1" applyFill="1" applyBorder="1" applyAlignment="1">
      <alignment horizontal="center" vertical="center"/>
    </xf>
    <xf numFmtId="2" fontId="6" fillId="12" borderId="10" xfId="43" applyNumberFormat="1" applyFont="1" applyFill="1" applyBorder="1" applyAlignment="1">
      <alignment horizontal="center" vertical="center" wrapText="1"/>
    </xf>
    <xf numFmtId="0" fontId="6" fillId="0" borderId="11" xfId="0" applyFont="1" applyBorder="1" applyAlignment="1">
      <alignment horizontal="center" vertical="center"/>
    </xf>
    <xf numFmtId="49" fontId="6" fillId="12" borderId="10" xfId="43" applyNumberFormat="1" applyFont="1" applyFill="1" applyBorder="1" applyAlignment="1">
      <alignment horizontal="center" vertical="center"/>
    </xf>
    <xf numFmtId="2" fontId="6" fillId="0" borderId="10" xfId="0" applyNumberFormat="1" applyFont="1" applyBorder="1" applyAlignment="1">
      <alignment horizontal="center" vertical="center"/>
    </xf>
    <xf numFmtId="3" fontId="6" fillId="0" borderId="10" xfId="0" applyNumberFormat="1" applyFont="1" applyBorder="1" applyAlignment="1">
      <alignment horizontal="center" vertical="center"/>
    </xf>
    <xf numFmtId="4" fontId="6" fillId="0" borderId="10" xfId="0" applyNumberFormat="1" applyFont="1" applyBorder="1" applyAlignment="1">
      <alignment horizontal="center" vertical="center"/>
    </xf>
    <xf numFmtId="2" fontId="6" fillId="0" borderId="10" xfId="0" applyNumberFormat="1" applyFont="1" applyBorder="1" applyAlignment="1">
      <alignment horizontal="center" vertical="center" wrapText="1"/>
    </xf>
    <xf numFmtId="0" fontId="6" fillId="0" borderId="11" xfId="0" applyFont="1" applyBorder="1" applyAlignment="1">
      <alignment horizontal="center"/>
    </xf>
    <xf numFmtId="0" fontId="6" fillId="0" borderId="15" xfId="0" applyFont="1" applyBorder="1" applyAlignment="1">
      <alignment horizontal="center"/>
    </xf>
    <xf numFmtId="49" fontId="10" fillId="36" borderId="11" xfId="0" applyNumberFormat="1" applyFont="1" applyFill="1" applyBorder="1" applyAlignment="1">
      <alignment horizontal="center" vertical="center"/>
    </xf>
    <xf numFmtId="49" fontId="10" fillId="36" borderId="15" xfId="0" applyNumberFormat="1" applyFont="1" applyFill="1" applyBorder="1" applyAlignment="1">
      <alignment horizontal="center" vertical="center"/>
    </xf>
    <xf numFmtId="0" fontId="6" fillId="0" borderId="10" xfId="0" applyFont="1" applyBorder="1" applyAlignment="1">
      <alignment horizontal="center" vertical="center"/>
    </xf>
    <xf numFmtId="49" fontId="10" fillId="36" borderId="18" xfId="0" applyNumberFormat="1" applyFont="1" applyFill="1" applyBorder="1" applyAlignment="1">
      <alignment horizontal="left" vertical="center"/>
    </xf>
    <xf numFmtId="49" fontId="10" fillId="36" borderId="14" xfId="0" applyNumberFormat="1" applyFont="1" applyFill="1" applyBorder="1" applyAlignment="1">
      <alignment horizontal="left" vertical="center"/>
    </xf>
    <xf numFmtId="0" fontId="6" fillId="36" borderId="11" xfId="0" applyFont="1" applyFill="1" applyBorder="1" applyAlignment="1">
      <alignment horizontal="left" wrapText="1"/>
    </xf>
    <xf numFmtId="0" fontId="6" fillId="36" borderId="15" xfId="0" applyFont="1" applyFill="1" applyBorder="1" applyAlignment="1">
      <alignment horizontal="left" wrapText="1"/>
    </xf>
    <xf numFmtId="0" fontId="6" fillId="36" borderId="10" xfId="0" applyFont="1" applyFill="1" applyBorder="1" applyAlignment="1">
      <alignment horizontal="left" vertical="center" wrapText="1"/>
    </xf>
    <xf numFmtId="4" fontId="6" fillId="36" borderId="10" xfId="43" applyNumberFormat="1" applyFont="1" applyFill="1" applyBorder="1" applyAlignment="1">
      <alignment horizontal="right" vertical="center" wrapText="1"/>
    </xf>
    <xf numFmtId="2" fontId="10" fillId="36" borderId="10" xfId="0" applyNumberFormat="1" applyFont="1" applyFill="1" applyBorder="1" applyAlignment="1">
      <alignment horizontal="center" vertical="center"/>
    </xf>
    <xf numFmtId="0" fontId="21" fillId="0" borderId="0" xfId="0" applyFont="1" applyBorder="1" applyAlignment="1">
      <alignment horizontal="center"/>
    </xf>
    <xf numFmtId="0" fontId="21" fillId="0" borderId="0" xfId="0" applyFont="1" applyBorder="1" applyAlignment="1">
      <alignment horizontal="center" wrapText="1"/>
    </xf>
    <xf numFmtId="0" fontId="7" fillId="0" borderId="0" xfId="0" applyFont="1" applyBorder="1" applyAlignment="1">
      <alignment horizontal="center"/>
    </xf>
    <xf numFmtId="0" fontId="7" fillId="0" borderId="12" xfId="0" applyFont="1" applyBorder="1" applyAlignment="1">
      <alignment horizontal="center"/>
    </xf>
    <xf numFmtId="49" fontId="10" fillId="36" borderId="18" xfId="0" applyNumberFormat="1" applyFont="1" applyFill="1" applyBorder="1" applyAlignment="1">
      <alignment horizontal="center" vertical="center"/>
    </xf>
    <xf numFmtId="49" fontId="10" fillId="36" borderId="14" xfId="0" applyNumberFormat="1" applyFont="1" applyFill="1" applyBorder="1" applyAlignment="1">
      <alignment horizontal="center" vertical="center"/>
    </xf>
    <xf numFmtId="49" fontId="6" fillId="0" borderId="18" xfId="0" applyNumberFormat="1" applyFont="1" applyFill="1" applyBorder="1" applyAlignment="1" quotePrefix="1">
      <alignment horizontal="left" vertical="center" wrapText="1"/>
    </xf>
    <xf numFmtId="0" fontId="1" fillId="0" borderId="0" xfId="0" applyFont="1" applyBorder="1" applyAlignment="1">
      <alignment horizontal="center"/>
    </xf>
    <xf numFmtId="0" fontId="1" fillId="0" borderId="0" xfId="0" applyFont="1" applyBorder="1" applyAlignment="1">
      <alignment horizontal="center" wrapText="1"/>
    </xf>
    <xf numFmtId="0" fontId="0" fillId="0" borderId="0" xfId="0" applyFont="1" applyBorder="1" applyAlignment="1">
      <alignment horizontal="center"/>
    </xf>
    <xf numFmtId="0" fontId="0" fillId="0" borderId="12" xfId="0" applyBorder="1" applyAlignment="1">
      <alignment horizontal="center"/>
    </xf>
    <xf numFmtId="0" fontId="20" fillId="0" borderId="14" xfId="0" applyFont="1" applyFill="1" applyBorder="1" applyAlignment="1">
      <alignment horizontal="center" vertical="center" wrapText="1"/>
    </xf>
    <xf numFmtId="190" fontId="10" fillId="0" borderId="10" xfId="42" applyNumberFormat="1" applyFont="1" applyBorder="1" applyAlignment="1">
      <alignment/>
    </xf>
    <xf numFmtId="190" fontId="6" fillId="0" borderId="18" xfId="42" applyNumberFormat="1" applyFont="1" applyBorder="1" applyAlignment="1">
      <alignment horizontal="right" vertical="center"/>
    </xf>
    <xf numFmtId="190" fontId="6" fillId="0" borderId="14" xfId="42" applyNumberFormat="1" applyFont="1" applyBorder="1" applyAlignment="1">
      <alignment horizontal="right" vertical="center"/>
    </xf>
    <xf numFmtId="190" fontId="6" fillId="0" borderId="10" xfId="42" applyNumberFormat="1" applyFont="1" applyBorder="1" applyAlignment="1">
      <alignment/>
    </xf>
    <xf numFmtId="203" fontId="26" fillId="0" borderId="10" xfId="42" applyNumberFormat="1" applyFont="1" applyBorder="1" applyAlignment="1">
      <alignment horizontal="right" vertical="center"/>
    </xf>
    <xf numFmtId="202" fontId="26" fillId="0" borderId="10" xfId="42" applyNumberFormat="1" applyFont="1" applyFill="1" applyBorder="1" applyAlignment="1">
      <alignment horizontal="right" vertical="center"/>
    </xf>
    <xf numFmtId="43" fontId="26" fillId="0" borderId="10" xfId="42" applyNumberFormat="1" applyFont="1" applyBorder="1" applyAlignment="1">
      <alignment vertical="center"/>
    </xf>
    <xf numFmtId="202" fontId="26" fillId="0" borderId="10" xfId="42" applyNumberFormat="1" applyFont="1" applyBorder="1" applyAlignment="1">
      <alignment horizontal="right" vertical="center"/>
    </xf>
    <xf numFmtId="191" fontId="79" fillId="0" borderId="0" xfId="0" applyNumberFormat="1" applyFont="1" applyAlignment="1">
      <alignment/>
    </xf>
    <xf numFmtId="190" fontId="6" fillId="0" borderId="10" xfId="42" applyNumberFormat="1" applyFont="1" applyBorder="1" applyAlignment="1">
      <alignment vertical="center"/>
    </xf>
    <xf numFmtId="0" fontId="13" fillId="0" borderId="20" xfId="0" applyFont="1" applyBorder="1" applyAlignment="1">
      <alignment horizontal="left"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2" xfId="44"/>
    <cellStyle name="Comma 10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2" xfId="60"/>
    <cellStyle name="Normal 3 2 2" xfId="61"/>
    <cellStyle name="Normal 8 2"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26"/>
  <sheetViews>
    <sheetView zoomScalePageLayoutView="0" workbookViewId="0" topLeftCell="A1">
      <selection activeCell="D10" sqref="D10"/>
    </sheetView>
  </sheetViews>
  <sheetFormatPr defaultColWidth="8.88671875" defaultRowHeight="18.75"/>
  <cols>
    <col min="2" max="2" width="28.5546875" style="0" bestFit="1" customWidth="1"/>
    <col min="3" max="6" width="14.21484375" style="0" customWidth="1"/>
  </cols>
  <sheetData>
    <row r="1" spans="1:6" ht="18.75">
      <c r="A1" s="390" t="s">
        <v>617</v>
      </c>
      <c r="B1" s="390"/>
      <c r="C1" s="391" t="s">
        <v>200</v>
      </c>
      <c r="D1" s="391"/>
      <c r="E1" s="391"/>
      <c r="F1" s="391"/>
    </row>
    <row r="2" spans="1:6" ht="33.75" customHeight="1">
      <c r="A2" s="392" t="s">
        <v>216</v>
      </c>
      <c r="B2" s="392"/>
      <c r="C2" s="393" t="s">
        <v>201</v>
      </c>
      <c r="D2" s="393"/>
      <c r="E2" s="393"/>
      <c r="F2" s="393"/>
    </row>
    <row r="3" spans="1:6" ht="18.75">
      <c r="A3" s="55"/>
      <c r="B3" s="57"/>
      <c r="C3" s="57"/>
      <c r="D3" s="57"/>
      <c r="E3" s="57"/>
      <c r="F3" s="57"/>
    </row>
    <row r="4" spans="1:6" ht="18.75">
      <c r="A4" s="55"/>
      <c r="B4" s="57"/>
      <c r="C4" s="394" t="s">
        <v>246</v>
      </c>
      <c r="D4" s="394"/>
      <c r="E4" s="394"/>
      <c r="F4" s="394"/>
    </row>
    <row r="5" spans="1:6" ht="18.75">
      <c r="A5" s="55"/>
      <c r="B5" s="57"/>
      <c r="C5" s="57"/>
      <c r="D5" s="57"/>
      <c r="E5" s="57"/>
      <c r="F5" s="57"/>
    </row>
    <row r="6" spans="1:6" ht="18.75">
      <c r="A6" s="391" t="s">
        <v>217</v>
      </c>
      <c r="B6" s="391"/>
      <c r="C6" s="391"/>
      <c r="D6" s="391"/>
      <c r="E6" s="391"/>
      <c r="F6" s="391"/>
    </row>
    <row r="7" spans="1:6" ht="104.25" customHeight="1">
      <c r="A7" s="61"/>
      <c r="B7" s="62"/>
      <c r="C7" s="61"/>
      <c r="D7" s="63"/>
      <c r="E7" s="63"/>
      <c r="F7" s="63"/>
    </row>
    <row r="8" spans="1:6" ht="43.5" customHeight="1">
      <c r="A8" s="62"/>
      <c r="B8" s="67" t="str">
        <f>A1</f>
        <v>UBND HUYỆN</v>
      </c>
      <c r="C8" s="64"/>
      <c r="D8" s="389" t="str">
        <f>A2</f>
        <v>CHI CỤC THỐNG KÊ KHU VỰC 
KON PLONG - KON RẪY</v>
      </c>
      <c r="E8" s="389"/>
      <c r="F8" s="389"/>
    </row>
    <row r="10" ht="18.75">
      <c r="B10" s="68" t="s">
        <v>219</v>
      </c>
    </row>
    <row r="11" ht="18.75">
      <c r="B11" s="68" t="s">
        <v>218</v>
      </c>
    </row>
    <row r="12" ht="18.75">
      <c r="B12" s="68" t="s">
        <v>220</v>
      </c>
    </row>
    <row r="13" ht="18.75">
      <c r="B13" s="68" t="s">
        <v>221</v>
      </c>
    </row>
    <row r="14" ht="18.75">
      <c r="B14" s="68" t="s">
        <v>222</v>
      </c>
    </row>
    <row r="15" ht="18.75">
      <c r="B15" s="68" t="s">
        <v>223</v>
      </c>
    </row>
    <row r="16" ht="18.75">
      <c r="B16" s="68" t="s">
        <v>224</v>
      </c>
    </row>
    <row r="17" ht="18.75">
      <c r="B17" s="68" t="s">
        <v>225</v>
      </c>
    </row>
    <row r="18" ht="18.75">
      <c r="B18" s="68" t="s">
        <v>226</v>
      </c>
    </row>
    <row r="19" ht="18.75">
      <c r="B19" s="68" t="s">
        <v>227</v>
      </c>
    </row>
    <row r="20" ht="18.75">
      <c r="B20" s="68" t="s">
        <v>233</v>
      </c>
    </row>
    <row r="21" ht="33.75">
      <c r="B21" s="71" t="s">
        <v>216</v>
      </c>
    </row>
    <row r="22" ht="18.75">
      <c r="B22" s="68" t="s">
        <v>237</v>
      </c>
    </row>
    <row r="23" ht="18.75">
      <c r="B23" s="68" t="s">
        <v>244</v>
      </c>
    </row>
    <row r="24" ht="18.75">
      <c r="B24" s="68" t="s">
        <v>286</v>
      </c>
    </row>
    <row r="25" ht="18.75">
      <c r="B25" s="68" t="s">
        <v>511</v>
      </c>
    </row>
    <row r="26" ht="18.75">
      <c r="B26" s="68" t="s">
        <v>512</v>
      </c>
    </row>
  </sheetData>
  <sheetProtection/>
  <mergeCells count="7">
    <mergeCell ref="D8:F8"/>
    <mergeCell ref="A1:B1"/>
    <mergeCell ref="C1:F1"/>
    <mergeCell ref="A2:B2"/>
    <mergeCell ref="C2:F2"/>
    <mergeCell ref="C4:F4"/>
    <mergeCell ref="A6:F6"/>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D19"/>
  <sheetViews>
    <sheetView view="pageBreakPreview" zoomScaleSheetLayoutView="100" zoomScalePageLayoutView="0" workbookViewId="0" topLeftCell="A1">
      <selection activeCell="C19" sqref="C19:D19"/>
    </sheetView>
  </sheetViews>
  <sheetFormatPr defaultColWidth="8.88671875" defaultRowHeight="18.75"/>
  <cols>
    <col min="1" max="1" width="4.77734375" style="0" customWidth="1"/>
    <col min="2" max="2" width="36.10546875" style="0" customWidth="1"/>
    <col min="3" max="3" width="28.5546875" style="0" customWidth="1"/>
    <col min="4" max="4" width="14.88671875" style="0" customWidth="1"/>
  </cols>
  <sheetData>
    <row r="1" spans="1:4" ht="18.75">
      <c r="A1" s="390" t="str">
        <f>'THÔNG TIN CHUNG'!A1:B1</f>
        <v>UBND HUYỆN</v>
      </c>
      <c r="B1" s="390"/>
      <c r="C1" s="391" t="s">
        <v>200</v>
      </c>
      <c r="D1" s="391"/>
    </row>
    <row r="2" spans="1:4" ht="18.75">
      <c r="A2" s="399" t="str">
        <f>'THÔNG TIN CHUNG'!B15</f>
        <v>PHÒNG GIÁO DỤC &amp; ĐÀO TẠO</v>
      </c>
      <c r="B2" s="399"/>
      <c r="C2" s="393" t="s">
        <v>201</v>
      </c>
      <c r="D2" s="393"/>
    </row>
    <row r="3" spans="1:3" ht="18.75">
      <c r="A3" s="55"/>
      <c r="B3" s="57"/>
      <c r="C3" s="57"/>
    </row>
    <row r="4" spans="1:4" ht="18.75">
      <c r="A4" s="55"/>
      <c r="B4" s="57"/>
      <c r="C4" s="394" t="str">
        <f>'THÔNG TIN CHUNG'!C4:F4</f>
        <v>Kon Rẫy, ngày …. tháng …. năm 202..</v>
      </c>
      <c r="D4" s="394"/>
    </row>
    <row r="5" spans="1:3" ht="18.75">
      <c r="A5" s="55"/>
      <c r="B5" s="57"/>
      <c r="C5" s="57"/>
    </row>
    <row r="6" spans="1:4" ht="39" customHeight="1">
      <c r="A6" s="418" t="s">
        <v>314</v>
      </c>
      <c r="B6" s="418"/>
      <c r="C6" s="418"/>
      <c r="D6" s="418"/>
    </row>
    <row r="7" spans="1:4" ht="18.75">
      <c r="A7" s="59" t="s">
        <v>9</v>
      </c>
      <c r="B7" s="59" t="s">
        <v>315</v>
      </c>
      <c r="C7" s="59" t="s">
        <v>310</v>
      </c>
      <c r="D7" s="99" t="s">
        <v>449</v>
      </c>
    </row>
    <row r="8" spans="1:4" s="88" customFormat="1" ht="18.75">
      <c r="A8" s="60" t="s">
        <v>1</v>
      </c>
      <c r="B8" s="81" t="s">
        <v>316</v>
      </c>
      <c r="C8" s="83"/>
      <c r="D8" s="211">
        <f>COUNT(A9:A10)</f>
        <v>2</v>
      </c>
    </row>
    <row r="9" spans="1:4" ht="18.75">
      <c r="A9" s="11">
        <v>1</v>
      </c>
      <c r="B9" s="31" t="s">
        <v>544</v>
      </c>
      <c r="C9" s="84" t="s">
        <v>538</v>
      </c>
      <c r="D9" s="420"/>
    </row>
    <row r="10" spans="1:4" ht="18.75">
      <c r="A10" s="11">
        <v>2</v>
      </c>
      <c r="B10" s="31" t="s">
        <v>545</v>
      </c>
      <c r="C10" s="84" t="s">
        <v>578</v>
      </c>
      <c r="D10" s="421"/>
    </row>
    <row r="11" spans="1:4" s="88" customFormat="1" ht="18.75">
      <c r="A11" s="101" t="s">
        <v>3</v>
      </c>
      <c r="B11" s="98" t="s">
        <v>317</v>
      </c>
      <c r="C11" s="82"/>
      <c r="D11" s="211">
        <f>COUNT(A12:A13)</f>
        <v>2</v>
      </c>
    </row>
    <row r="12" spans="1:4" s="18" customFormat="1" ht="18.75">
      <c r="A12" s="100">
        <v>1</v>
      </c>
      <c r="B12" s="51" t="s">
        <v>543</v>
      </c>
      <c r="C12" s="84" t="s">
        <v>538</v>
      </c>
      <c r="D12" s="420"/>
    </row>
    <row r="13" spans="1:4" s="18" customFormat="1" ht="18.75">
      <c r="A13" s="100">
        <v>2</v>
      </c>
      <c r="B13" s="51" t="s">
        <v>542</v>
      </c>
      <c r="C13" s="84" t="s">
        <v>538</v>
      </c>
      <c r="D13" s="421"/>
    </row>
    <row r="14" spans="1:4" s="88" customFormat="1" ht="18.75">
      <c r="A14" s="101" t="s">
        <v>4</v>
      </c>
      <c r="B14" s="98" t="s">
        <v>319</v>
      </c>
      <c r="C14" s="82"/>
      <c r="D14" s="211">
        <f>COUNT(A15:A15)</f>
        <v>1</v>
      </c>
    </row>
    <row r="15" spans="1:4" s="18" customFormat="1" ht="18.75">
      <c r="A15" s="100">
        <v>1</v>
      </c>
      <c r="B15" s="51" t="s">
        <v>546</v>
      </c>
      <c r="C15" s="84" t="s">
        <v>538</v>
      </c>
      <c r="D15" s="262"/>
    </row>
    <row r="16" spans="1:4" s="88" customFormat="1" ht="18.75">
      <c r="A16" s="101" t="s">
        <v>6</v>
      </c>
      <c r="B16" s="98" t="s">
        <v>320</v>
      </c>
      <c r="C16" s="82"/>
      <c r="D16" s="211">
        <f>COUNT(A17:A17)</f>
        <v>1</v>
      </c>
    </row>
    <row r="17" spans="1:4" s="88" customFormat="1" ht="30.75">
      <c r="A17" s="101">
        <v>1</v>
      </c>
      <c r="B17" s="51" t="s">
        <v>547</v>
      </c>
      <c r="C17" s="84" t="s">
        <v>538</v>
      </c>
      <c r="D17" s="211"/>
    </row>
    <row r="18" spans="1:2" ht="18.75">
      <c r="A18" s="90"/>
      <c r="B18" s="90"/>
    </row>
    <row r="19" spans="1:4" ht="108" customHeight="1">
      <c r="A19" s="62"/>
      <c r="B19" s="67" t="str">
        <f>A1</f>
        <v>UBND HUYỆN</v>
      </c>
      <c r="C19" s="404" t="str">
        <f>A2</f>
        <v>PHÒNG GIÁO DỤC &amp; ĐÀO TẠO</v>
      </c>
      <c r="D19" s="404"/>
    </row>
  </sheetData>
  <sheetProtection/>
  <mergeCells count="9">
    <mergeCell ref="C19:D19"/>
    <mergeCell ref="D9:D10"/>
    <mergeCell ref="D12:D13"/>
    <mergeCell ref="A6:D6"/>
    <mergeCell ref="A1:B1"/>
    <mergeCell ref="A2:B2"/>
    <mergeCell ref="C1:D1"/>
    <mergeCell ref="C2:D2"/>
    <mergeCell ref="C4:D4"/>
  </mergeCells>
  <printOptions/>
  <pageMargins left="0.7" right="0.7" top="0.75" bottom="0.75" header="0.3" footer="0.3"/>
  <pageSetup horizontalDpi="600" verticalDpi="600" orientation="portrait" scale="85" r:id="rId1"/>
</worksheet>
</file>

<file path=xl/worksheets/sheet11.xml><?xml version="1.0" encoding="utf-8"?>
<worksheet xmlns="http://schemas.openxmlformats.org/spreadsheetml/2006/main" xmlns:r="http://schemas.openxmlformats.org/officeDocument/2006/relationships">
  <dimension ref="A1:D16"/>
  <sheetViews>
    <sheetView view="pageBreakPreview" zoomScale="130" zoomScaleSheetLayoutView="130" zoomScalePageLayoutView="0" workbookViewId="0" topLeftCell="A1">
      <selection activeCell="B11" sqref="B11"/>
    </sheetView>
  </sheetViews>
  <sheetFormatPr defaultColWidth="8.88671875" defaultRowHeight="18.75"/>
  <cols>
    <col min="1" max="1" width="4.77734375" style="0" customWidth="1"/>
    <col min="2" max="2" width="27.4453125" style="0" customWidth="1"/>
    <col min="3" max="3" width="33.77734375" style="0" customWidth="1"/>
  </cols>
  <sheetData>
    <row r="1" spans="1:4" ht="18.75">
      <c r="A1" s="390" t="str">
        <f>'THÔNG TIN CHUNG'!A1:B1</f>
        <v>UBND HUYỆN</v>
      </c>
      <c r="B1" s="390"/>
      <c r="C1" s="391" t="s">
        <v>200</v>
      </c>
      <c r="D1" s="391"/>
    </row>
    <row r="2" spans="1:4" ht="18.75">
      <c r="A2" s="399" t="str">
        <f>'THÔNG TIN CHUNG'!B16</f>
        <v>PHÒNG VĂN HÓA - THÔNG TIN</v>
      </c>
      <c r="B2" s="399"/>
      <c r="C2" s="393" t="s">
        <v>201</v>
      </c>
      <c r="D2" s="393"/>
    </row>
    <row r="3" spans="1:3" ht="18.75">
      <c r="A3" s="55"/>
      <c r="B3" s="57"/>
      <c r="C3" s="57"/>
    </row>
    <row r="4" spans="1:4" ht="18.75">
      <c r="A4" s="55"/>
      <c r="B4" s="57"/>
      <c r="C4" s="394" t="str">
        <f>'THÔNG TIN CHUNG'!C4:F4</f>
        <v>Kon Rẫy, ngày …. tháng …. năm 202..</v>
      </c>
      <c r="D4" s="394"/>
    </row>
    <row r="5" spans="1:3" ht="18.75">
      <c r="A5" s="55"/>
      <c r="B5" s="57"/>
      <c r="C5" s="57"/>
    </row>
    <row r="6" spans="1:4" ht="39" customHeight="1">
      <c r="A6" s="418" t="s">
        <v>509</v>
      </c>
      <c r="B6" s="418"/>
      <c r="C6" s="418"/>
      <c r="D6" s="418"/>
    </row>
    <row r="7" spans="1:4" ht="31.5">
      <c r="A7" s="59" t="s">
        <v>9</v>
      </c>
      <c r="B7" s="59" t="s">
        <v>321</v>
      </c>
      <c r="C7" s="59" t="s">
        <v>310</v>
      </c>
      <c r="D7" s="99" t="s">
        <v>448</v>
      </c>
    </row>
    <row r="8" spans="1:4" s="88" customFormat="1" ht="18.75">
      <c r="A8" s="60" t="s">
        <v>1</v>
      </c>
      <c r="B8" s="81" t="s">
        <v>541</v>
      </c>
      <c r="C8" s="83"/>
      <c r="D8" s="211">
        <f>COUNT(A9:A11)</f>
        <v>3</v>
      </c>
    </row>
    <row r="9" spans="1:4" ht="18.75">
      <c r="A9" s="11">
        <v>1</v>
      </c>
      <c r="B9" s="31" t="s">
        <v>537</v>
      </c>
      <c r="C9" s="84" t="s">
        <v>539</v>
      </c>
      <c r="D9" s="422"/>
    </row>
    <row r="10" spans="1:4" ht="27.75" customHeight="1">
      <c r="A10" s="11">
        <v>2</v>
      </c>
      <c r="B10" s="51" t="s">
        <v>513</v>
      </c>
      <c r="C10" s="84" t="s">
        <v>538</v>
      </c>
      <c r="D10" s="422"/>
    </row>
    <row r="11" spans="1:4" ht="18.75">
      <c r="A11" s="11">
        <v>3</v>
      </c>
      <c r="B11" s="31" t="s">
        <v>613</v>
      </c>
      <c r="C11" s="84" t="s">
        <v>539</v>
      </c>
      <c r="D11" s="422"/>
    </row>
    <row r="12" spans="1:4" s="88" customFormat="1" ht="31.5">
      <c r="A12" s="101" t="s">
        <v>3</v>
      </c>
      <c r="B12" s="98" t="s">
        <v>540</v>
      </c>
      <c r="C12" s="82"/>
      <c r="D12" s="211">
        <f>COUNT(A13:A15)</f>
        <v>0</v>
      </c>
    </row>
    <row r="13" spans="1:4" s="18" customFormat="1" ht="18.75">
      <c r="A13" s="100" t="s">
        <v>318</v>
      </c>
      <c r="B13" s="51"/>
      <c r="C13" s="84"/>
      <c r="D13" s="257"/>
    </row>
    <row r="14" spans="1:4" s="18" customFormat="1" ht="18.75">
      <c r="A14" s="100" t="s">
        <v>318</v>
      </c>
      <c r="B14" s="51"/>
      <c r="C14" s="84"/>
      <c r="D14" s="257"/>
    </row>
    <row r="15" spans="1:2" ht="18.75">
      <c r="A15" s="90"/>
      <c r="B15" s="90"/>
    </row>
    <row r="16" spans="1:4" ht="95.25" customHeight="1">
      <c r="A16" s="62"/>
      <c r="B16" s="67" t="str">
        <f>A1</f>
        <v>UBND HUYỆN</v>
      </c>
      <c r="C16" s="404" t="str">
        <f>A2</f>
        <v>PHÒNG VĂN HÓA - THÔNG TIN</v>
      </c>
      <c r="D16" s="404"/>
    </row>
  </sheetData>
  <sheetProtection/>
  <mergeCells count="8">
    <mergeCell ref="D9:D11"/>
    <mergeCell ref="C16:D16"/>
    <mergeCell ref="A1:B1"/>
    <mergeCell ref="A2:B2"/>
    <mergeCell ref="C1:D1"/>
    <mergeCell ref="C2:D2"/>
    <mergeCell ref="A6:D6"/>
    <mergeCell ref="C4:D4"/>
  </mergeCells>
  <printOptions/>
  <pageMargins left="0.7" right="0.7" top="0.75" bottom="0.75" header="0.3" footer="0.3"/>
  <pageSetup horizontalDpi="600" verticalDpi="600" orientation="portrait" scale="96" r:id="rId1"/>
</worksheet>
</file>

<file path=xl/worksheets/sheet12.xml><?xml version="1.0" encoding="utf-8"?>
<worksheet xmlns="http://schemas.openxmlformats.org/spreadsheetml/2006/main" xmlns:r="http://schemas.openxmlformats.org/officeDocument/2006/relationships">
  <dimension ref="A1:D18"/>
  <sheetViews>
    <sheetView view="pageBreakPreview" zoomScale="115" zoomScaleSheetLayoutView="115" zoomScalePageLayoutView="0" workbookViewId="0" topLeftCell="A34">
      <selection activeCell="C16" sqref="C16"/>
    </sheetView>
  </sheetViews>
  <sheetFormatPr defaultColWidth="8.88671875" defaultRowHeight="18.75"/>
  <cols>
    <col min="1" max="1" width="2.99609375" style="0" bestFit="1" customWidth="1"/>
    <col min="2" max="2" width="25.21484375" style="0" customWidth="1"/>
    <col min="3" max="3" width="31.99609375" style="0" customWidth="1"/>
  </cols>
  <sheetData>
    <row r="1" spans="1:4" ht="18.75">
      <c r="A1" s="390" t="str">
        <f>'THÔNG TIN CHUNG'!A1:B1</f>
        <v>UBND HUYỆN</v>
      </c>
      <c r="B1" s="390"/>
      <c r="C1" s="391" t="s">
        <v>200</v>
      </c>
      <c r="D1" s="391"/>
    </row>
    <row r="2" spans="1:4" ht="18.75">
      <c r="A2" s="399" t="str">
        <f>'THÔNG TIN CHUNG'!B11</f>
        <v>PHÒNG KINH TẾ - HẠ TẦNG</v>
      </c>
      <c r="B2" s="399"/>
      <c r="C2" s="393" t="s">
        <v>201</v>
      </c>
      <c r="D2" s="393"/>
    </row>
    <row r="3" spans="1:3" ht="18.75">
      <c r="A3" s="55"/>
      <c r="B3" s="57"/>
      <c r="C3" s="57"/>
    </row>
    <row r="4" spans="1:4" ht="18.75">
      <c r="A4" s="55"/>
      <c r="B4" s="57"/>
      <c r="C4" s="394" t="str">
        <f>'THÔNG TIN CHUNG'!C4:F4</f>
        <v>Kon Rẫy, ngày …. tháng …. năm 202..</v>
      </c>
      <c r="D4" s="394"/>
    </row>
    <row r="5" spans="1:3" ht="18.75">
      <c r="A5" s="55"/>
      <c r="B5" s="57"/>
      <c r="C5" s="57"/>
    </row>
    <row r="6" spans="1:4" ht="54.75" customHeight="1">
      <c r="A6" s="418" t="s">
        <v>510</v>
      </c>
      <c r="B6" s="418"/>
      <c r="C6" s="418"/>
      <c r="D6" s="418"/>
    </row>
    <row r="7" spans="1:4" ht="31.5">
      <c r="A7" s="59" t="s">
        <v>9</v>
      </c>
      <c r="B7" s="59" t="s">
        <v>321</v>
      </c>
      <c r="C7" s="59" t="s">
        <v>310</v>
      </c>
      <c r="D7" s="99" t="s">
        <v>448</v>
      </c>
    </row>
    <row r="8" spans="1:4" ht="18.75">
      <c r="A8" s="59" t="s">
        <v>26</v>
      </c>
      <c r="B8" s="32" t="s">
        <v>325</v>
      </c>
      <c r="C8" s="59"/>
      <c r="D8" s="211">
        <f>COUNT(A9)</f>
        <v>0</v>
      </c>
    </row>
    <row r="9" spans="1:4" s="18" customFormat="1" ht="18.75">
      <c r="A9" s="52"/>
      <c r="B9" s="53"/>
      <c r="C9" s="52"/>
      <c r="D9" s="210"/>
    </row>
    <row r="10" spans="1:4" ht="18.75">
      <c r="A10" s="59" t="s">
        <v>27</v>
      </c>
      <c r="B10" s="32" t="s">
        <v>326</v>
      </c>
      <c r="C10" s="59"/>
      <c r="D10" s="212">
        <f>+D11+D13+D15</f>
        <v>1</v>
      </c>
    </row>
    <row r="11" spans="1:4" s="88" customFormat="1" ht="18.75">
      <c r="A11" s="60" t="s">
        <v>1</v>
      </c>
      <c r="B11" s="81" t="s">
        <v>514</v>
      </c>
      <c r="C11" s="83"/>
      <c r="D11" s="211">
        <f>COUNT(A12:A12)</f>
        <v>0</v>
      </c>
    </row>
    <row r="12" spans="1:4" ht="18.75">
      <c r="A12" s="11"/>
      <c r="B12" s="31"/>
      <c r="C12" s="84"/>
      <c r="D12" s="210"/>
    </row>
    <row r="13" spans="1:4" s="88" customFormat="1" ht="18.75">
      <c r="A13" s="60" t="s">
        <v>3</v>
      </c>
      <c r="B13" s="81" t="s">
        <v>322</v>
      </c>
      <c r="C13" s="82"/>
      <c r="D13" s="211">
        <f>COUNT(A14:A14)</f>
        <v>0</v>
      </c>
    </row>
    <row r="14" spans="1:4" ht="18.75">
      <c r="A14" s="11"/>
      <c r="B14" s="31"/>
      <c r="C14" s="84"/>
      <c r="D14" s="210"/>
    </row>
    <row r="15" spans="1:4" s="88" customFormat="1" ht="31.5" customHeight="1">
      <c r="A15" s="101" t="s">
        <v>4</v>
      </c>
      <c r="B15" s="98" t="s">
        <v>323</v>
      </c>
      <c r="C15" s="82"/>
      <c r="D15" s="211">
        <f>COUNT(A16:A16)</f>
        <v>1</v>
      </c>
    </row>
    <row r="16" spans="1:4" s="18" customFormat="1" ht="33.75" customHeight="1">
      <c r="A16" s="100">
        <v>1</v>
      </c>
      <c r="B16" s="51" t="s">
        <v>515</v>
      </c>
      <c r="C16" s="84" t="s">
        <v>516</v>
      </c>
      <c r="D16" s="210"/>
    </row>
    <row r="17" spans="1:2" ht="18.75">
      <c r="A17" s="90"/>
      <c r="B17" s="90"/>
    </row>
    <row r="18" spans="1:3" ht="114.75" customHeight="1">
      <c r="A18" s="62"/>
      <c r="B18" s="67" t="str">
        <f>A1</f>
        <v>UBND HUYỆN</v>
      </c>
      <c r="C18" s="95" t="str">
        <f>A2</f>
        <v>PHÒNG KINH TẾ - HẠ TẦNG</v>
      </c>
    </row>
  </sheetData>
  <sheetProtection/>
  <mergeCells count="6">
    <mergeCell ref="A1:B1"/>
    <mergeCell ref="A2:B2"/>
    <mergeCell ref="C1:D1"/>
    <mergeCell ref="C2:D2"/>
    <mergeCell ref="C4:D4"/>
    <mergeCell ref="A6:D6"/>
  </mergeCells>
  <printOptions/>
  <pageMargins left="0.984251968503937" right="0.5905511811023622" top="0.5905511811023622" bottom="0.5905511811023622" header="0.31496062992125984" footer="0.31496062992125984"/>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K49"/>
  <sheetViews>
    <sheetView tabSelected="1" view="pageBreakPreview" zoomScaleSheetLayoutView="100" zoomScalePageLayoutView="0" workbookViewId="0" topLeftCell="A31">
      <selection activeCell="F49" sqref="F49"/>
    </sheetView>
  </sheetViews>
  <sheetFormatPr defaultColWidth="8.88671875" defaultRowHeight="18.75"/>
  <cols>
    <col min="1" max="1" width="3.21484375" style="0" bestFit="1" customWidth="1"/>
    <col min="2" max="2" width="19.6640625" style="0" customWidth="1"/>
    <col min="3" max="3" width="7.6640625" style="0" customWidth="1"/>
    <col min="4" max="4" width="5.5546875" style="0" customWidth="1"/>
    <col min="5" max="5" width="12.21484375" style="0" customWidth="1"/>
    <col min="6" max="6" width="12.77734375" style="0" customWidth="1"/>
    <col min="7" max="8" width="7.77734375" style="0" customWidth="1"/>
    <col min="9" max="9" width="7.4453125" style="0" customWidth="1"/>
    <col min="10" max="10" width="8.6640625" style="0" customWidth="1"/>
    <col min="11" max="11" width="10.21484375" style="0" customWidth="1"/>
  </cols>
  <sheetData>
    <row r="1" spans="1:11" ht="18.75">
      <c r="A1" s="390" t="str">
        <f>'THÔNG TIN CHUNG'!A1:B1</f>
        <v>UBND HUYỆN</v>
      </c>
      <c r="B1" s="390"/>
      <c r="C1" s="390"/>
      <c r="D1" s="237"/>
      <c r="E1" s="237"/>
      <c r="F1" s="391" t="s">
        <v>200</v>
      </c>
      <c r="G1" s="391"/>
      <c r="H1" s="391"/>
      <c r="I1" s="391"/>
      <c r="J1" s="391"/>
      <c r="K1" s="391"/>
    </row>
    <row r="2" spans="1:11" ht="18.75" customHeight="1">
      <c r="A2" s="399" t="str">
        <f>'THÔNG TIN CHUNG'!B11</f>
        <v>PHÒNG KINH TẾ - HẠ TẦNG</v>
      </c>
      <c r="B2" s="399"/>
      <c r="C2" s="399"/>
      <c r="D2" s="236"/>
      <c r="E2" s="236"/>
      <c r="F2" s="393" t="s">
        <v>201</v>
      </c>
      <c r="G2" s="393"/>
      <c r="H2" s="393"/>
      <c r="I2" s="393"/>
      <c r="J2" s="393"/>
      <c r="K2" s="393"/>
    </row>
    <row r="3" spans="1:3" ht="9.75" customHeight="1">
      <c r="A3" s="55"/>
      <c r="B3" s="57"/>
      <c r="C3" s="57"/>
    </row>
    <row r="4" spans="1:11" ht="18.75">
      <c r="A4" s="55"/>
      <c r="B4" s="57"/>
      <c r="C4" s="92"/>
      <c r="D4" s="92"/>
      <c r="E4" s="92"/>
      <c r="F4" s="394" t="s">
        <v>246</v>
      </c>
      <c r="G4" s="394"/>
      <c r="H4" s="394"/>
      <c r="I4" s="394"/>
      <c r="J4" s="394"/>
      <c r="K4" s="394"/>
    </row>
    <row r="5" spans="1:3" ht="9.75" customHeight="1">
      <c r="A5" s="55"/>
      <c r="B5" s="57"/>
      <c r="C5" s="57"/>
    </row>
    <row r="6" spans="1:11" ht="39" customHeight="1">
      <c r="A6" s="418" t="s">
        <v>324</v>
      </c>
      <c r="B6" s="418"/>
      <c r="C6" s="418"/>
      <c r="D6" s="418"/>
      <c r="E6" s="418"/>
      <c r="F6" s="418"/>
      <c r="G6" s="418"/>
      <c r="H6" s="418"/>
      <c r="I6" s="418"/>
      <c r="J6" s="418"/>
      <c r="K6" s="418"/>
    </row>
    <row r="7" spans="1:11" ht="31.5" customHeight="1">
      <c r="A7" s="406" t="s">
        <v>9</v>
      </c>
      <c r="B7" s="406" t="s">
        <v>327</v>
      </c>
      <c r="C7" s="406" t="s">
        <v>328</v>
      </c>
      <c r="D7" s="425" t="s">
        <v>329</v>
      </c>
      <c r="E7" s="446" t="s">
        <v>528</v>
      </c>
      <c r="F7" s="446"/>
      <c r="G7" s="425" t="s">
        <v>562</v>
      </c>
      <c r="H7" s="425" t="s">
        <v>622</v>
      </c>
      <c r="I7" s="425" t="s">
        <v>561</v>
      </c>
      <c r="J7" s="429" t="s">
        <v>334</v>
      </c>
      <c r="K7" s="430"/>
    </row>
    <row r="8" spans="1:11" ht="77.25" customHeight="1">
      <c r="A8" s="407"/>
      <c r="B8" s="407"/>
      <c r="C8" s="407"/>
      <c r="D8" s="426"/>
      <c r="E8" s="240" t="s">
        <v>529</v>
      </c>
      <c r="F8" s="240" t="s">
        <v>530</v>
      </c>
      <c r="G8" s="426"/>
      <c r="H8" s="603"/>
      <c r="I8" s="426"/>
      <c r="J8" s="99" t="s">
        <v>563</v>
      </c>
      <c r="K8" s="99" t="s">
        <v>564</v>
      </c>
    </row>
    <row r="9" spans="1:11" s="88" customFormat="1" ht="31.5">
      <c r="A9" s="60" t="s">
        <v>1</v>
      </c>
      <c r="B9" s="98" t="s">
        <v>330</v>
      </c>
      <c r="C9" s="83"/>
      <c r="D9" s="102"/>
      <c r="E9" s="102"/>
      <c r="F9" s="102"/>
      <c r="G9" s="343"/>
      <c r="H9" s="604">
        <f>+SUM(H10:H12)</f>
        <v>71960</v>
      </c>
      <c r="I9" s="102"/>
      <c r="J9" s="102"/>
      <c r="K9" s="102"/>
    </row>
    <row r="10" spans="1:11" ht="18.75">
      <c r="A10" s="439">
        <v>1</v>
      </c>
      <c r="B10" s="437" t="s">
        <v>331</v>
      </c>
      <c r="C10" s="84">
        <v>15</v>
      </c>
      <c r="D10" s="274">
        <v>39.5</v>
      </c>
      <c r="E10" s="241"/>
      <c r="F10" s="241"/>
      <c r="G10" s="432">
        <v>3300</v>
      </c>
      <c r="H10" s="605">
        <f>(400*40)+1900*18.4</f>
        <v>50960</v>
      </c>
      <c r="I10" s="441">
        <f>+G10</f>
        <v>3300</v>
      </c>
      <c r="J10" s="423">
        <v>3300</v>
      </c>
      <c r="K10" s="241"/>
    </row>
    <row r="11" spans="1:11" ht="18.75">
      <c r="A11" s="440"/>
      <c r="B11" s="438"/>
      <c r="C11" s="84">
        <v>9</v>
      </c>
      <c r="D11" s="274">
        <v>30</v>
      </c>
      <c r="E11" s="241"/>
      <c r="F11" s="241"/>
      <c r="G11" s="433"/>
      <c r="H11" s="606"/>
      <c r="I11" s="442"/>
      <c r="J11" s="424"/>
      <c r="K11" s="241"/>
    </row>
    <row r="12" spans="1:11" ht="18.75">
      <c r="A12" s="11">
        <v>2</v>
      </c>
      <c r="B12" s="31" t="s">
        <v>332</v>
      </c>
      <c r="C12" s="84">
        <v>3.5</v>
      </c>
      <c r="D12" s="274">
        <v>27</v>
      </c>
      <c r="E12" s="241" t="s">
        <v>592</v>
      </c>
      <c r="F12" s="241" t="s">
        <v>593</v>
      </c>
      <c r="G12" s="344">
        <v>2500</v>
      </c>
      <c r="H12" s="607">
        <f>G12*8.4</f>
        <v>21000</v>
      </c>
      <c r="I12" s="242">
        <v>2000</v>
      </c>
      <c r="J12" s="339"/>
      <c r="K12" s="241"/>
    </row>
    <row r="13" spans="1:11" s="88" customFormat="1" ht="31.5">
      <c r="A13" s="60" t="s">
        <v>3</v>
      </c>
      <c r="B13" s="98" t="s">
        <v>565</v>
      </c>
      <c r="C13" s="82"/>
      <c r="D13" s="341"/>
      <c r="E13" s="102"/>
      <c r="F13" s="102"/>
      <c r="G13" s="343"/>
      <c r="H13" s="604">
        <f>+SUM(H14:H24)</f>
        <v>149481.505</v>
      </c>
      <c r="I13" s="102"/>
      <c r="J13" s="340"/>
      <c r="K13" s="102"/>
    </row>
    <row r="14" spans="1:11" ht="18.75">
      <c r="A14" s="11">
        <v>1</v>
      </c>
      <c r="B14" s="31" t="s">
        <v>517</v>
      </c>
      <c r="C14" s="84">
        <v>15</v>
      </c>
      <c r="D14" s="274">
        <v>27</v>
      </c>
      <c r="E14" s="241" t="s">
        <v>331</v>
      </c>
      <c r="F14" s="241" t="s">
        <v>531</v>
      </c>
      <c r="G14" s="344">
        <v>1150</v>
      </c>
      <c r="H14" s="607">
        <f aca="true" t="shared" si="0" ref="H14:H23">G14*D14</f>
        <v>31050</v>
      </c>
      <c r="I14" s="242">
        <f aca="true" t="shared" si="1" ref="I14:I21">+G14*2</f>
        <v>2300</v>
      </c>
      <c r="J14" s="339">
        <f>+G14</f>
        <v>1150</v>
      </c>
      <c r="K14" s="241">
        <v>0</v>
      </c>
    </row>
    <row r="15" spans="1:11" ht="18.75">
      <c r="A15" s="11">
        <v>2</v>
      </c>
      <c r="B15" s="31" t="s">
        <v>518</v>
      </c>
      <c r="C15" s="84">
        <v>7.5</v>
      </c>
      <c r="D15" s="274">
        <v>19.5</v>
      </c>
      <c r="E15" s="241" t="s">
        <v>532</v>
      </c>
      <c r="F15" s="241" t="s">
        <v>533</v>
      </c>
      <c r="G15" s="344">
        <v>790.06</v>
      </c>
      <c r="H15" s="607">
        <f t="shared" si="0"/>
        <v>15406.169999999998</v>
      </c>
      <c r="I15" s="242">
        <f t="shared" si="1"/>
        <v>1580.12</v>
      </c>
      <c r="J15" s="339">
        <f aca="true" t="shared" si="2" ref="J15:J24">+G15</f>
        <v>790.06</v>
      </c>
      <c r="K15" s="241">
        <v>0</v>
      </c>
    </row>
    <row r="16" spans="1:11" ht="18.75">
      <c r="A16" s="11">
        <v>3</v>
      </c>
      <c r="B16" s="31" t="s">
        <v>519</v>
      </c>
      <c r="C16" s="84">
        <v>7.5</v>
      </c>
      <c r="D16" s="274">
        <v>16.5</v>
      </c>
      <c r="E16" s="241" t="s">
        <v>405</v>
      </c>
      <c r="F16" s="241" t="s">
        <v>522</v>
      </c>
      <c r="G16" s="344">
        <v>316.15</v>
      </c>
      <c r="H16" s="607">
        <f t="shared" si="0"/>
        <v>5216.474999999999</v>
      </c>
      <c r="I16" s="242">
        <f t="shared" si="1"/>
        <v>632.3</v>
      </c>
      <c r="J16" s="339">
        <f t="shared" si="2"/>
        <v>316.15</v>
      </c>
      <c r="K16" s="241">
        <v>0</v>
      </c>
    </row>
    <row r="17" spans="1:11" ht="18.75">
      <c r="A17" s="11">
        <v>4</v>
      </c>
      <c r="B17" s="31" t="s">
        <v>521</v>
      </c>
      <c r="C17" s="84">
        <v>7.5</v>
      </c>
      <c r="D17" s="274">
        <v>16.5</v>
      </c>
      <c r="E17" s="241" t="s">
        <v>534</v>
      </c>
      <c r="F17" s="241" t="s">
        <v>526</v>
      </c>
      <c r="G17" s="344">
        <v>577.2</v>
      </c>
      <c r="H17" s="607">
        <f t="shared" si="0"/>
        <v>9523.800000000001</v>
      </c>
      <c r="I17" s="242">
        <f t="shared" si="1"/>
        <v>1154.4</v>
      </c>
      <c r="J17" s="339">
        <f t="shared" si="2"/>
        <v>577.2</v>
      </c>
      <c r="K17" s="241">
        <v>0</v>
      </c>
    </row>
    <row r="18" spans="1:11" ht="18.75">
      <c r="A18" s="11">
        <v>5</v>
      </c>
      <c r="B18" s="31" t="s">
        <v>522</v>
      </c>
      <c r="C18" s="84">
        <v>10.5</v>
      </c>
      <c r="D18" s="274">
        <v>22.5</v>
      </c>
      <c r="E18" s="241" t="s">
        <v>532</v>
      </c>
      <c r="F18" s="241" t="s">
        <v>534</v>
      </c>
      <c r="G18" s="344">
        <v>237.78</v>
      </c>
      <c r="H18" s="607">
        <f t="shared" si="0"/>
        <v>5350.05</v>
      </c>
      <c r="I18" s="241">
        <f t="shared" si="1"/>
        <v>475.56</v>
      </c>
      <c r="J18" s="339">
        <f t="shared" si="2"/>
        <v>237.78</v>
      </c>
      <c r="K18" s="241">
        <v>0</v>
      </c>
    </row>
    <row r="19" spans="1:11" ht="18.75">
      <c r="A19" s="11">
        <v>6</v>
      </c>
      <c r="B19" s="31" t="s">
        <v>523</v>
      </c>
      <c r="C19" s="84">
        <v>7.5</v>
      </c>
      <c r="D19" s="274">
        <v>16.5</v>
      </c>
      <c r="E19" s="241" t="s">
        <v>520</v>
      </c>
      <c r="F19" s="241" t="s">
        <v>331</v>
      </c>
      <c r="G19" s="344">
        <v>265.66</v>
      </c>
      <c r="H19" s="607">
        <f t="shared" si="0"/>
        <v>4383.39</v>
      </c>
      <c r="I19" s="241">
        <f t="shared" si="1"/>
        <v>531.32</v>
      </c>
      <c r="J19" s="339">
        <f t="shared" si="2"/>
        <v>265.66</v>
      </c>
      <c r="K19" s="241">
        <v>0</v>
      </c>
    </row>
    <row r="20" spans="1:11" ht="18.75">
      <c r="A20" s="11">
        <v>7</v>
      </c>
      <c r="B20" s="31" t="s">
        <v>524</v>
      </c>
      <c r="C20" s="84">
        <v>10.5</v>
      </c>
      <c r="D20" s="274">
        <v>22.5</v>
      </c>
      <c r="E20" s="241" t="s">
        <v>520</v>
      </c>
      <c r="F20" s="241" t="s">
        <v>535</v>
      </c>
      <c r="G20" s="344">
        <v>344.8</v>
      </c>
      <c r="H20" s="607">
        <f t="shared" si="0"/>
        <v>7758</v>
      </c>
      <c r="I20" s="241">
        <f t="shared" si="1"/>
        <v>689.6</v>
      </c>
      <c r="J20" s="339">
        <f t="shared" si="2"/>
        <v>344.8</v>
      </c>
      <c r="K20" s="241">
        <v>0</v>
      </c>
    </row>
    <row r="21" spans="1:11" ht="18.75">
      <c r="A21" s="11">
        <v>8</v>
      </c>
      <c r="B21" s="31" t="s">
        <v>525</v>
      </c>
      <c r="C21" s="84">
        <v>10.5</v>
      </c>
      <c r="D21" s="274">
        <v>22.5</v>
      </c>
      <c r="E21" s="241" t="s">
        <v>520</v>
      </c>
      <c r="F21" s="241" t="s">
        <v>535</v>
      </c>
      <c r="G21" s="344">
        <v>342</v>
      </c>
      <c r="H21" s="607">
        <f t="shared" si="0"/>
        <v>7695</v>
      </c>
      <c r="I21" s="241">
        <f t="shared" si="1"/>
        <v>684</v>
      </c>
      <c r="J21" s="339">
        <f t="shared" si="2"/>
        <v>342</v>
      </c>
      <c r="K21" s="241">
        <v>0</v>
      </c>
    </row>
    <row r="22" spans="1:11" ht="18.75">
      <c r="A22" s="11">
        <v>9</v>
      </c>
      <c r="B22" s="31" t="s">
        <v>526</v>
      </c>
      <c r="C22" s="84">
        <v>7.5</v>
      </c>
      <c r="D22" s="274">
        <v>16.5</v>
      </c>
      <c r="E22" s="241" t="s">
        <v>405</v>
      </c>
      <c r="F22" s="241" t="s">
        <v>536</v>
      </c>
      <c r="G22" s="344">
        <v>260.28</v>
      </c>
      <c r="H22" s="607">
        <f t="shared" si="0"/>
        <v>4294.62</v>
      </c>
      <c r="I22" s="241">
        <f>+G22*2</f>
        <v>520.56</v>
      </c>
      <c r="J22" s="339">
        <f t="shared" si="2"/>
        <v>260.28</v>
      </c>
      <c r="K22" s="241">
        <v>0</v>
      </c>
    </row>
    <row r="23" spans="1:11" ht="18.75">
      <c r="A23" s="11">
        <v>10</v>
      </c>
      <c r="B23" s="31" t="s">
        <v>594</v>
      </c>
      <c r="C23" s="84">
        <v>15</v>
      </c>
      <c r="D23" s="274">
        <v>27</v>
      </c>
      <c r="E23" s="241" t="s">
        <v>592</v>
      </c>
      <c r="F23" s="241" t="s">
        <v>595</v>
      </c>
      <c r="G23" s="344">
        <v>252</v>
      </c>
      <c r="H23" s="607">
        <f t="shared" si="0"/>
        <v>6804</v>
      </c>
      <c r="I23" s="241">
        <f>+G23*2</f>
        <v>504</v>
      </c>
      <c r="J23" s="339">
        <f t="shared" si="2"/>
        <v>252</v>
      </c>
      <c r="K23" s="241">
        <v>0</v>
      </c>
    </row>
    <row r="24" spans="1:11" ht="18.75">
      <c r="A24" s="11">
        <v>11</v>
      </c>
      <c r="B24" s="31" t="s">
        <v>596</v>
      </c>
      <c r="C24" s="84"/>
      <c r="D24" s="342"/>
      <c r="E24" s="338"/>
      <c r="F24" s="338"/>
      <c r="G24" s="345">
        <v>2600</v>
      </c>
      <c r="H24" s="607">
        <f>G24*20</f>
        <v>52000</v>
      </c>
      <c r="I24" s="338">
        <f>+G24*2</f>
        <v>5200</v>
      </c>
      <c r="J24" s="339">
        <f t="shared" si="2"/>
        <v>2600</v>
      </c>
      <c r="K24" s="338">
        <v>0</v>
      </c>
    </row>
    <row r="25" spans="1:11" s="88" customFormat="1" ht="31.5">
      <c r="A25" s="101" t="s">
        <v>4</v>
      </c>
      <c r="B25" s="98" t="s">
        <v>527</v>
      </c>
      <c r="C25" s="82"/>
      <c r="D25" s="341"/>
      <c r="E25" s="102"/>
      <c r="F25" s="102"/>
      <c r="G25" s="343"/>
      <c r="H25" s="604">
        <f>+SUM(H26:H37)</f>
        <v>46325</v>
      </c>
      <c r="I25" s="102"/>
      <c r="J25" s="381"/>
      <c r="K25" s="102"/>
    </row>
    <row r="26" spans="1:11" s="88" customFormat="1" ht="18.75">
      <c r="A26" s="386">
        <v>1</v>
      </c>
      <c r="B26" s="387" t="s">
        <v>619</v>
      </c>
      <c r="C26" s="388">
        <v>5.5</v>
      </c>
      <c r="D26" s="388">
        <v>14.5</v>
      </c>
      <c r="E26" s="386" t="s">
        <v>535</v>
      </c>
      <c r="F26" s="386" t="s">
        <v>522</v>
      </c>
      <c r="G26" s="388">
        <v>640</v>
      </c>
      <c r="H26" s="607">
        <f aca="true" t="shared" si="3" ref="H26:H33">G26*D26</f>
        <v>9280</v>
      </c>
      <c r="I26" s="388">
        <v>1280</v>
      </c>
      <c r="J26" s="388">
        <v>1280</v>
      </c>
      <c r="K26" s="102"/>
    </row>
    <row r="27" spans="1:11" s="18" customFormat="1" ht="33.75" customHeight="1">
      <c r="A27" s="382">
        <v>2</v>
      </c>
      <c r="B27" s="383" t="s">
        <v>597</v>
      </c>
      <c r="C27" s="258">
        <v>4</v>
      </c>
      <c r="D27" s="384">
        <v>27</v>
      </c>
      <c r="E27" s="374" t="s">
        <v>592</v>
      </c>
      <c r="F27" s="367" t="s">
        <v>598</v>
      </c>
      <c r="G27" s="385">
        <v>800</v>
      </c>
      <c r="H27" s="613">
        <f>(450*10+1100*6)</f>
        <v>11100</v>
      </c>
      <c r="I27" s="385">
        <v>600</v>
      </c>
      <c r="J27" s="347">
        <v>1500</v>
      </c>
      <c r="K27" s="338"/>
    </row>
    <row r="28" spans="1:11" s="18" customFormat="1" ht="18.75">
      <c r="A28" s="386">
        <v>3</v>
      </c>
      <c r="B28" s="51" t="s">
        <v>599</v>
      </c>
      <c r="C28" s="84">
        <v>3.5</v>
      </c>
      <c r="D28" s="342">
        <v>7.5</v>
      </c>
      <c r="E28" s="11" t="s">
        <v>592</v>
      </c>
      <c r="F28" s="338" t="s">
        <v>600</v>
      </c>
      <c r="G28" s="347">
        <v>800</v>
      </c>
      <c r="H28" s="607">
        <f t="shared" si="3"/>
        <v>6000</v>
      </c>
      <c r="I28" s="347">
        <v>1000</v>
      </c>
      <c r="J28" s="347">
        <v>800</v>
      </c>
      <c r="K28" s="338"/>
    </row>
    <row r="29" spans="1:11" s="18" customFormat="1" ht="31.5">
      <c r="A29" s="382">
        <v>4</v>
      </c>
      <c r="B29" s="51" t="s">
        <v>601</v>
      </c>
      <c r="C29" s="84">
        <v>3.5</v>
      </c>
      <c r="D29" s="346">
        <v>5.5</v>
      </c>
      <c r="E29" s="338"/>
      <c r="F29" s="338"/>
      <c r="G29" s="347">
        <v>270</v>
      </c>
      <c r="H29" s="607">
        <f t="shared" si="3"/>
        <v>1485</v>
      </c>
      <c r="I29" s="347"/>
      <c r="J29" s="347">
        <v>270</v>
      </c>
      <c r="K29" s="338"/>
    </row>
    <row r="30" spans="1:11" s="18" customFormat="1" ht="31.5">
      <c r="A30" s="386">
        <v>5</v>
      </c>
      <c r="B30" s="51" t="s">
        <v>602</v>
      </c>
      <c r="C30" s="84">
        <v>4</v>
      </c>
      <c r="D30" s="346">
        <v>4</v>
      </c>
      <c r="E30" s="338"/>
      <c r="F30" s="338"/>
      <c r="G30" s="347">
        <v>405</v>
      </c>
      <c r="H30" s="607">
        <f t="shared" si="3"/>
        <v>1620</v>
      </c>
      <c r="I30" s="347"/>
      <c r="J30" s="347">
        <v>405</v>
      </c>
      <c r="K30" s="338"/>
    </row>
    <row r="31" spans="1:11" s="18" customFormat="1" ht="31.5">
      <c r="A31" s="382">
        <v>6</v>
      </c>
      <c r="B31" s="51" t="s">
        <v>603</v>
      </c>
      <c r="C31" s="84">
        <v>4</v>
      </c>
      <c r="D31" s="346">
        <v>4</v>
      </c>
      <c r="E31" s="338"/>
      <c r="F31" s="338"/>
      <c r="G31" s="347">
        <v>520</v>
      </c>
      <c r="H31" s="607">
        <f t="shared" si="3"/>
        <v>2080</v>
      </c>
      <c r="I31" s="347"/>
      <c r="J31" s="347">
        <v>520</v>
      </c>
      <c r="K31" s="338"/>
    </row>
    <row r="32" spans="1:11" s="18" customFormat="1" ht="31.5">
      <c r="A32" s="386">
        <v>7</v>
      </c>
      <c r="B32" s="51" t="s">
        <v>604</v>
      </c>
      <c r="C32" s="84">
        <v>7.5</v>
      </c>
      <c r="D32" s="346">
        <v>7.5</v>
      </c>
      <c r="E32" s="338"/>
      <c r="F32" s="338"/>
      <c r="G32" s="347">
        <v>120</v>
      </c>
      <c r="H32" s="607">
        <f t="shared" si="3"/>
        <v>900</v>
      </c>
      <c r="I32" s="347">
        <v>240</v>
      </c>
      <c r="J32" s="347">
        <v>120</v>
      </c>
      <c r="K32" s="338"/>
    </row>
    <row r="33" spans="1:11" s="18" customFormat="1" ht="18.75">
      <c r="A33" s="382">
        <v>8</v>
      </c>
      <c r="B33" s="51" t="s">
        <v>605</v>
      </c>
      <c r="C33" s="84">
        <v>5</v>
      </c>
      <c r="D33" s="342">
        <v>5.5</v>
      </c>
      <c r="E33" s="338"/>
      <c r="F33" s="338"/>
      <c r="G33" s="347">
        <v>265</v>
      </c>
      <c r="H33" s="607">
        <f t="shared" si="3"/>
        <v>1457.5</v>
      </c>
      <c r="I33" s="347">
        <v>265</v>
      </c>
      <c r="J33" s="347">
        <v>265</v>
      </c>
      <c r="K33" s="338"/>
    </row>
    <row r="34" spans="1:11" s="18" customFormat="1" ht="31.5">
      <c r="A34" s="386">
        <v>9</v>
      </c>
      <c r="B34" s="51" t="s">
        <v>606</v>
      </c>
      <c r="C34" s="84">
        <v>4</v>
      </c>
      <c r="D34" s="342">
        <v>5.5</v>
      </c>
      <c r="E34" s="338"/>
      <c r="F34" s="338"/>
      <c r="G34" s="347">
        <v>205</v>
      </c>
      <c r="H34" s="607">
        <f>G34*D34</f>
        <v>1127.5</v>
      </c>
      <c r="I34" s="347"/>
      <c r="J34" s="347">
        <v>205</v>
      </c>
      <c r="K34" s="338"/>
    </row>
    <row r="35" spans="1:11" s="18" customFormat="1" ht="18.75">
      <c r="A35" s="382">
        <v>10</v>
      </c>
      <c r="B35" s="51" t="s">
        <v>607</v>
      </c>
      <c r="C35" s="84">
        <v>4</v>
      </c>
      <c r="D35" s="342">
        <v>4</v>
      </c>
      <c r="E35" s="11" t="s">
        <v>608</v>
      </c>
      <c r="F35" s="11" t="s">
        <v>264</v>
      </c>
      <c r="G35" s="347">
        <v>250</v>
      </c>
      <c r="H35" s="607">
        <f>G35*D35</f>
        <v>1000</v>
      </c>
      <c r="I35" s="347"/>
      <c r="J35" s="347">
        <v>205</v>
      </c>
      <c r="K35" s="338"/>
    </row>
    <row r="36" spans="1:11" s="18" customFormat="1" ht="18.75">
      <c r="A36" s="386">
        <v>11</v>
      </c>
      <c r="B36" s="51" t="s">
        <v>609</v>
      </c>
      <c r="C36" s="84">
        <v>3</v>
      </c>
      <c r="D36" s="342">
        <f>3+1.5+1.5</f>
        <v>6</v>
      </c>
      <c r="E36" s="11" t="s">
        <v>592</v>
      </c>
      <c r="F36" s="11" t="s">
        <v>266</v>
      </c>
      <c r="G36" s="347">
        <v>1540</v>
      </c>
      <c r="H36" s="607">
        <f>G36*D36</f>
        <v>9240</v>
      </c>
      <c r="I36" s="347"/>
      <c r="J36" s="347">
        <v>1540</v>
      </c>
      <c r="K36" s="338"/>
    </row>
    <row r="37" spans="1:11" s="18" customFormat="1" ht="31.5">
      <c r="A37" s="382">
        <v>12</v>
      </c>
      <c r="B37" s="51" t="s">
        <v>610</v>
      </c>
      <c r="C37" s="84">
        <v>4</v>
      </c>
      <c r="D37" s="84">
        <v>4.5</v>
      </c>
      <c r="E37" s="379" t="s">
        <v>592</v>
      </c>
      <c r="F37" s="379" t="s">
        <v>265</v>
      </c>
      <c r="G37" s="347">
        <v>230</v>
      </c>
      <c r="H37" s="613">
        <f>G37*D37</f>
        <v>1035</v>
      </c>
      <c r="I37" s="347"/>
      <c r="J37" s="347">
        <v>230</v>
      </c>
      <c r="K37" s="338"/>
    </row>
    <row r="38" spans="1:11" s="88" customFormat="1" ht="18.75">
      <c r="A38" s="443" t="s">
        <v>269</v>
      </c>
      <c r="B38" s="444"/>
      <c r="C38" s="444"/>
      <c r="D38" s="445"/>
      <c r="E38" s="239"/>
      <c r="F38" s="239"/>
      <c r="G38" s="255">
        <f>SUM(G14:G24)+G10</f>
        <v>10435.93</v>
      </c>
      <c r="H38" s="604">
        <f>+H25+H13+H9</f>
        <v>267766.505</v>
      </c>
      <c r="I38" s="255">
        <f>SUM(I14:I36)+SUM(I10:I12)</f>
        <v>22956.86</v>
      </c>
      <c r="J38" s="255"/>
      <c r="K38" s="102"/>
    </row>
    <row r="39" spans="1:11" ht="18" customHeight="1">
      <c r="A39" s="614" t="s">
        <v>623</v>
      </c>
      <c r="B39" s="614"/>
      <c r="C39" s="614"/>
      <c r="D39" s="614"/>
      <c r="E39" s="614"/>
      <c r="F39" s="614"/>
      <c r="G39" s="614"/>
      <c r="H39" s="614"/>
      <c r="I39" s="614"/>
      <c r="J39" s="614"/>
      <c r="K39" s="614"/>
    </row>
    <row r="40" spans="1:11" ht="18.75">
      <c r="A40" s="435" t="s">
        <v>338</v>
      </c>
      <c r="B40" s="435"/>
      <c r="C40" s="435"/>
      <c r="D40" s="435"/>
      <c r="E40" s="435"/>
      <c r="F40" s="435"/>
      <c r="G40" s="435"/>
      <c r="H40" s="435"/>
      <c r="I40" s="435"/>
      <c r="J40" s="435"/>
      <c r="K40" s="435"/>
    </row>
    <row r="41" spans="1:11" ht="30" customHeight="1">
      <c r="A41" s="103" t="s">
        <v>9</v>
      </c>
      <c r="B41" s="436" t="s">
        <v>335</v>
      </c>
      <c r="C41" s="436"/>
      <c r="D41" s="436"/>
      <c r="E41" s="436"/>
      <c r="F41" s="436"/>
      <c r="G41" s="436"/>
      <c r="H41" s="436"/>
      <c r="I41" s="436"/>
      <c r="J41" s="104" t="s">
        <v>336</v>
      </c>
      <c r="K41" s="105" t="s">
        <v>339</v>
      </c>
    </row>
    <row r="42" spans="1:11" ht="18.75" customHeight="1" hidden="1">
      <c r="A42" s="106">
        <v>1</v>
      </c>
      <c r="B42" s="431" t="s">
        <v>341</v>
      </c>
      <c r="C42" s="431"/>
      <c r="D42" s="431"/>
      <c r="E42" s="431"/>
      <c r="F42" s="431"/>
      <c r="G42" s="431"/>
      <c r="H42" s="431"/>
      <c r="I42" s="431"/>
      <c r="J42" s="107" t="s">
        <v>207</v>
      </c>
      <c r="K42" s="215">
        <f>('Biểu 6 Cơ cấu SDD'!C16+'Biểu 6 Cơ cấu SDD'!C20)/'Biểu 6 Cơ cấu SDD'!C9%</f>
        <v>15.642391886070826</v>
      </c>
    </row>
    <row r="43" spans="1:11" ht="18.75" customHeight="1">
      <c r="A43" s="106">
        <v>1</v>
      </c>
      <c r="B43" s="427" t="s">
        <v>620</v>
      </c>
      <c r="C43" s="428"/>
      <c r="D43" s="428"/>
      <c r="E43" s="428"/>
      <c r="F43" s="428"/>
      <c r="G43" s="428"/>
      <c r="H43" s="428"/>
      <c r="I43" s="428"/>
      <c r="J43" s="107" t="s">
        <v>621</v>
      </c>
      <c r="K43" s="608">
        <f>SUM(G14:G24)+G10</f>
        <v>10435.93</v>
      </c>
    </row>
    <row r="44" spans="1:11" ht="22.5" customHeight="1" hidden="1">
      <c r="A44" s="106">
        <v>2</v>
      </c>
      <c r="B44" s="431" t="s">
        <v>567</v>
      </c>
      <c r="C44" s="431"/>
      <c r="D44" s="431"/>
      <c r="E44" s="431"/>
      <c r="F44" s="431"/>
      <c r="G44" s="431"/>
      <c r="H44" s="431"/>
      <c r="I44" s="431"/>
      <c r="J44" s="107" t="s">
        <v>568</v>
      </c>
      <c r="K44" s="609">
        <f>+(G38/1000)/('Biểu 6 Cơ cấu SDD'!C9*0.01)</f>
        <v>5.448931587672466</v>
      </c>
    </row>
    <row r="45" spans="1:11" ht="18.75" customHeight="1">
      <c r="A45" s="106">
        <v>2</v>
      </c>
      <c r="B45" s="431" t="s">
        <v>337</v>
      </c>
      <c r="C45" s="431"/>
      <c r="D45" s="431"/>
      <c r="E45" s="431"/>
      <c r="F45" s="431"/>
      <c r="G45" s="431"/>
      <c r="H45" s="431"/>
      <c r="I45" s="431"/>
      <c r="J45" s="107" t="s">
        <v>207</v>
      </c>
      <c r="K45" s="610">
        <v>100</v>
      </c>
    </row>
    <row r="46" spans="1:11" ht="18.75">
      <c r="A46" s="106">
        <v>3</v>
      </c>
      <c r="B46" s="431" t="s">
        <v>340</v>
      </c>
      <c r="C46" s="431"/>
      <c r="D46" s="431"/>
      <c r="E46" s="431"/>
      <c r="F46" s="431"/>
      <c r="G46" s="431"/>
      <c r="H46" s="431"/>
      <c r="I46" s="431"/>
      <c r="J46" s="108" t="s">
        <v>207</v>
      </c>
      <c r="K46" s="611">
        <v>100</v>
      </c>
    </row>
    <row r="47" spans="1:11" ht="18.75" hidden="1">
      <c r="A47" s="106">
        <v>5</v>
      </c>
      <c r="B47" s="431" t="s">
        <v>367</v>
      </c>
      <c r="C47" s="431"/>
      <c r="D47" s="431"/>
      <c r="E47" s="431"/>
      <c r="F47" s="431"/>
      <c r="G47" s="431"/>
      <c r="H47" s="431"/>
      <c r="I47" s="431"/>
      <c r="J47" s="107" t="s">
        <v>568</v>
      </c>
      <c r="K47" s="380">
        <f>+(I38/1000)/('Biểu 6 Cơ cấu SDD'!C9*0.01)</f>
        <v>11.986508112623842</v>
      </c>
    </row>
    <row r="48" spans="1:2" ht="6" customHeight="1">
      <c r="A48" s="90"/>
      <c r="B48" s="90"/>
    </row>
    <row r="49" spans="1:11" ht="112.5" customHeight="1">
      <c r="A49" s="62"/>
      <c r="B49" s="434" t="str">
        <f>A1</f>
        <v>UBND HUYỆN</v>
      </c>
      <c r="C49" s="434"/>
      <c r="D49" s="96"/>
      <c r="E49" s="96"/>
      <c r="F49" s="96"/>
      <c r="G49" s="96"/>
      <c r="H49" s="96"/>
      <c r="I49" s="404" t="str">
        <f>A2</f>
        <v>PHÒNG KINH TẾ - HẠ TẦNG</v>
      </c>
      <c r="J49" s="404"/>
      <c r="K49" s="404"/>
    </row>
  </sheetData>
  <sheetProtection/>
  <mergeCells count="33">
    <mergeCell ref="B7:B8"/>
    <mergeCell ref="C7:C8"/>
    <mergeCell ref="D7:D8"/>
    <mergeCell ref="G7:G8"/>
    <mergeCell ref="E7:F7"/>
    <mergeCell ref="F1:K1"/>
    <mergeCell ref="H7:H8"/>
    <mergeCell ref="B49:C49"/>
    <mergeCell ref="I49:K49"/>
    <mergeCell ref="A1:C1"/>
    <mergeCell ref="A2:C2"/>
    <mergeCell ref="A40:K40"/>
    <mergeCell ref="B41:I41"/>
    <mergeCell ref="B10:B11"/>
    <mergeCell ref="A10:A11"/>
    <mergeCell ref="I10:I11"/>
    <mergeCell ref="A38:D38"/>
    <mergeCell ref="B46:I46"/>
    <mergeCell ref="B47:I47"/>
    <mergeCell ref="G10:G11"/>
    <mergeCell ref="B42:I42"/>
    <mergeCell ref="B44:I44"/>
    <mergeCell ref="B45:I45"/>
    <mergeCell ref="H10:H11"/>
    <mergeCell ref="A39:K39"/>
    <mergeCell ref="F2:K2"/>
    <mergeCell ref="F4:K4"/>
    <mergeCell ref="J10:J11"/>
    <mergeCell ref="B43:I43"/>
    <mergeCell ref="J7:K7"/>
    <mergeCell ref="A6:K6"/>
    <mergeCell ref="I7:I8"/>
    <mergeCell ref="A7:A8"/>
  </mergeCells>
  <printOptions/>
  <pageMargins left="0.984251968503937" right="0.5905511811023622" top="0.5905511811023622" bottom="0.5905511811023622" header="0.31496062992125984" footer="0.31496062992125984"/>
  <pageSetup horizontalDpi="600" verticalDpi="600" orientation="portrait" scale="90" r:id="rId1"/>
</worksheet>
</file>

<file path=xl/worksheets/sheet14.xml><?xml version="1.0" encoding="utf-8"?>
<worksheet xmlns="http://schemas.openxmlformats.org/spreadsheetml/2006/main" xmlns:r="http://schemas.openxmlformats.org/officeDocument/2006/relationships">
  <dimension ref="A1:D14"/>
  <sheetViews>
    <sheetView view="pageBreakPreview" zoomScale="115" zoomScaleSheetLayoutView="115" zoomScalePageLayoutView="0" workbookViewId="0" topLeftCell="A1">
      <selection activeCell="D14" sqref="D14"/>
    </sheetView>
  </sheetViews>
  <sheetFormatPr defaultColWidth="8.88671875" defaultRowHeight="18.75"/>
  <cols>
    <col min="1" max="1" width="4.77734375" style="0" customWidth="1"/>
    <col min="2" max="2" width="24.88671875" style="0" customWidth="1"/>
    <col min="3" max="3" width="22.21484375" style="0" customWidth="1"/>
    <col min="4" max="4" width="19.77734375" style="0" customWidth="1"/>
    <col min="5" max="5" width="0.78125" style="0" customWidth="1"/>
  </cols>
  <sheetData>
    <row r="1" spans="1:4" ht="18.75">
      <c r="A1" s="390" t="str">
        <f>'THÔNG TIN CHUNG'!A1:B1</f>
        <v>UBND HUYỆN</v>
      </c>
      <c r="B1" s="390"/>
      <c r="C1" s="391" t="s">
        <v>200</v>
      </c>
      <c r="D1" s="391"/>
    </row>
    <row r="2" spans="1:4" ht="34.5" customHeight="1">
      <c r="A2" s="399" t="str">
        <f>'THÔNG TIN CHUNG'!B17</f>
        <v>TRUNG TÂM MÔI TRƯỜNG VÀ DỊCH VỤ ĐÔ THỊ</v>
      </c>
      <c r="B2" s="399"/>
      <c r="C2" s="393" t="s">
        <v>201</v>
      </c>
      <c r="D2" s="393"/>
    </row>
    <row r="3" spans="1:3" ht="18.75">
      <c r="A3" s="55"/>
      <c r="B3" s="57"/>
      <c r="C3" s="57"/>
    </row>
    <row r="4" spans="1:4" ht="18.75">
      <c r="A4" s="55"/>
      <c r="B4" s="57"/>
      <c r="C4" s="394" t="str">
        <f>'THÔNG TIN CHUNG'!C4:F4</f>
        <v>Kon Rẫy, ngày …. tháng …. năm 202..</v>
      </c>
      <c r="D4" s="394"/>
    </row>
    <row r="5" spans="1:3" ht="18.75">
      <c r="A5" s="55"/>
      <c r="B5" s="57"/>
      <c r="C5" s="57"/>
    </row>
    <row r="6" spans="1:4" ht="54.75" customHeight="1">
      <c r="A6" s="418" t="s">
        <v>342</v>
      </c>
      <c r="B6" s="418"/>
      <c r="C6" s="418"/>
      <c r="D6" s="418"/>
    </row>
    <row r="7" spans="1:4" ht="31.5">
      <c r="A7" s="59" t="s">
        <v>9</v>
      </c>
      <c r="B7" s="59" t="s">
        <v>343</v>
      </c>
      <c r="C7" s="59" t="s">
        <v>349</v>
      </c>
      <c r="D7" s="99" t="s">
        <v>271</v>
      </c>
    </row>
    <row r="8" spans="1:4" ht="31.5">
      <c r="A8" s="59" t="s">
        <v>1</v>
      </c>
      <c r="B8" s="32" t="s">
        <v>347</v>
      </c>
      <c r="C8" s="272">
        <v>2373522</v>
      </c>
      <c r="D8" s="274">
        <v>100</v>
      </c>
    </row>
    <row r="9" spans="1:4" ht="31.5">
      <c r="A9" s="59" t="s">
        <v>3</v>
      </c>
      <c r="B9" s="32" t="s">
        <v>348</v>
      </c>
      <c r="C9" s="272">
        <f>+C10+C11+C12</f>
        <v>48472</v>
      </c>
      <c r="D9" s="274">
        <f>+C9/C8%</f>
        <v>2.0421972073568306</v>
      </c>
    </row>
    <row r="10" spans="1:4" ht="18.75">
      <c r="A10" s="52">
        <v>1</v>
      </c>
      <c r="B10" s="53" t="s">
        <v>344</v>
      </c>
      <c r="C10" s="273">
        <v>24528</v>
      </c>
      <c r="D10" s="275"/>
    </row>
    <row r="11" spans="1:4" s="18" customFormat="1" ht="18.75">
      <c r="A11" s="52">
        <v>2</v>
      </c>
      <c r="B11" s="53" t="s">
        <v>345</v>
      </c>
      <c r="C11" s="273">
        <v>21024</v>
      </c>
      <c r="D11" s="241"/>
    </row>
    <row r="12" spans="1:4" ht="18.75">
      <c r="A12" s="52">
        <v>3</v>
      </c>
      <c r="B12" s="53" t="s">
        <v>346</v>
      </c>
      <c r="C12" s="273">
        <v>2920</v>
      </c>
      <c r="D12" s="241"/>
    </row>
    <row r="13" spans="1:2" ht="18.75">
      <c r="A13" s="90"/>
      <c r="B13" s="90"/>
    </row>
    <row r="14" spans="1:4" ht="134.25" customHeight="1">
      <c r="A14" s="62"/>
      <c r="B14" s="67" t="str">
        <f>A1</f>
        <v>UBND HUYỆN</v>
      </c>
      <c r="D14" s="95" t="str">
        <f>A2</f>
        <v>TRUNG TÂM MÔI TRƯỜNG VÀ DỊCH VỤ ĐÔ THỊ</v>
      </c>
    </row>
  </sheetData>
  <sheetProtection/>
  <mergeCells count="6">
    <mergeCell ref="A1:B1"/>
    <mergeCell ref="A2:B2"/>
    <mergeCell ref="C1:D1"/>
    <mergeCell ref="C2:D2"/>
    <mergeCell ref="C4:D4"/>
    <mergeCell ref="A6:D6"/>
  </mergeCells>
  <printOptions/>
  <pageMargins left="0.984251968503937" right="0.5905511811023622" top="0.5905511811023622" bottom="0.5905511811023622" header="0.31496062992125984" footer="0.31496062992125984"/>
  <pageSetup horizontalDpi="600" verticalDpi="600" orientation="portrait" scale="98" r:id="rId1"/>
</worksheet>
</file>

<file path=xl/worksheets/sheet15.xml><?xml version="1.0" encoding="utf-8"?>
<worksheet xmlns="http://schemas.openxmlformats.org/spreadsheetml/2006/main" xmlns:r="http://schemas.openxmlformats.org/officeDocument/2006/relationships">
  <dimension ref="A1:C21"/>
  <sheetViews>
    <sheetView view="pageBreakPreview" zoomScale="115" zoomScaleSheetLayoutView="115" zoomScalePageLayoutView="0" workbookViewId="0" topLeftCell="A1">
      <selection activeCell="C19" sqref="C19"/>
    </sheetView>
  </sheetViews>
  <sheetFormatPr defaultColWidth="8.88671875" defaultRowHeight="18.75"/>
  <cols>
    <col min="1" max="1" width="4.77734375" style="0" customWidth="1"/>
    <col min="2" max="2" width="25.88671875" style="0" customWidth="1"/>
    <col min="3" max="3" width="39.6640625" style="0" bestFit="1" customWidth="1"/>
  </cols>
  <sheetData>
    <row r="1" spans="1:3" ht="18.75">
      <c r="A1" s="390" t="str">
        <f>'THÔNG TIN CHUNG'!A1:B1</f>
        <v>UBND HUYỆN</v>
      </c>
      <c r="B1" s="390"/>
      <c r="C1" s="56" t="s">
        <v>200</v>
      </c>
    </row>
    <row r="2" spans="1:3" ht="18.75">
      <c r="A2" s="399" t="str">
        <f>'THÔNG TIN CHUNG'!B23</f>
        <v>ĐIỆN LỰC KON RẪY</v>
      </c>
      <c r="B2" s="399"/>
      <c r="C2" s="65" t="s">
        <v>201</v>
      </c>
    </row>
    <row r="3" spans="1:3" ht="18.75">
      <c r="A3" s="55"/>
      <c r="B3" s="57"/>
      <c r="C3" s="57"/>
    </row>
    <row r="4" spans="1:3" ht="18.75">
      <c r="A4" s="55"/>
      <c r="B4" s="57"/>
      <c r="C4" s="69" t="str">
        <f>'THÔNG TIN CHUNG'!C4:F4</f>
        <v>Kon Rẫy, ngày …. tháng …. năm 202..</v>
      </c>
    </row>
    <row r="5" spans="1:3" ht="18.75">
      <c r="A5" s="55"/>
      <c r="B5" s="57"/>
      <c r="C5" s="57"/>
    </row>
    <row r="6" spans="1:3" ht="54.75" customHeight="1">
      <c r="A6" s="418" t="s">
        <v>350</v>
      </c>
      <c r="B6" s="418"/>
      <c r="C6" s="418"/>
    </row>
    <row r="7" spans="1:3" ht="18.75">
      <c r="A7" s="59" t="s">
        <v>9</v>
      </c>
      <c r="B7" s="59" t="s">
        <v>258</v>
      </c>
      <c r="C7" s="59" t="s">
        <v>351</v>
      </c>
    </row>
    <row r="8" spans="1:3" ht="18.75">
      <c r="A8" s="59" t="s">
        <v>26</v>
      </c>
      <c r="B8" s="59" t="s">
        <v>464</v>
      </c>
      <c r="C8" s="264">
        <v>1834937</v>
      </c>
    </row>
    <row r="9" spans="1:3" ht="18.75">
      <c r="A9" s="60" t="s">
        <v>1</v>
      </c>
      <c r="B9" s="81" t="s">
        <v>259</v>
      </c>
      <c r="C9" s="265">
        <v>1190079</v>
      </c>
    </row>
    <row r="10" spans="1:3" ht="18.75">
      <c r="A10" s="11">
        <v>1</v>
      </c>
      <c r="B10" s="31" t="s">
        <v>260</v>
      </c>
      <c r="C10" s="266">
        <v>182665</v>
      </c>
    </row>
    <row r="11" spans="1:3" ht="18.75">
      <c r="A11" s="11">
        <v>2</v>
      </c>
      <c r="B11" s="31" t="s">
        <v>261</v>
      </c>
      <c r="C11" s="266">
        <v>631937</v>
      </c>
    </row>
    <row r="12" spans="1:3" s="18" customFormat="1" ht="18.75">
      <c r="A12" s="11">
        <v>3</v>
      </c>
      <c r="B12" s="31" t="s">
        <v>262</v>
      </c>
      <c r="C12" s="266">
        <v>76362</v>
      </c>
    </row>
    <row r="13" spans="1:3" ht="18.75">
      <c r="A13" s="11">
        <v>4</v>
      </c>
      <c r="B13" s="31" t="s">
        <v>264</v>
      </c>
      <c r="C13" s="266">
        <v>299115</v>
      </c>
    </row>
    <row r="14" spans="1:3" ht="18.75">
      <c r="A14" s="60" t="s">
        <v>3</v>
      </c>
      <c r="B14" s="81" t="s">
        <v>263</v>
      </c>
      <c r="C14" s="265">
        <v>644858</v>
      </c>
    </row>
    <row r="15" spans="1:3" ht="18.75" customHeight="1">
      <c r="A15" s="11">
        <v>1</v>
      </c>
      <c r="B15" s="31" t="s">
        <v>265</v>
      </c>
      <c r="C15" s="266">
        <v>297512</v>
      </c>
    </row>
    <row r="16" spans="1:3" ht="18.75">
      <c r="A16" s="11">
        <v>2</v>
      </c>
      <c r="B16" s="31" t="s">
        <v>266</v>
      </c>
      <c r="C16" s="266">
        <v>347346</v>
      </c>
    </row>
    <row r="17" spans="1:3" s="88" customFormat="1" ht="18.75">
      <c r="A17" s="59" t="s">
        <v>27</v>
      </c>
      <c r="B17" s="81" t="s">
        <v>466</v>
      </c>
      <c r="C17" s="264">
        <v>188830</v>
      </c>
    </row>
    <row r="18" spans="1:3" s="88" customFormat="1" ht="18.75">
      <c r="A18" s="60" t="s">
        <v>465</v>
      </c>
      <c r="B18" s="81" t="s">
        <v>467</v>
      </c>
      <c r="C18" s="264">
        <v>201879</v>
      </c>
    </row>
    <row r="19" spans="1:3" ht="18.75">
      <c r="A19" s="411" t="s">
        <v>269</v>
      </c>
      <c r="B19" s="411"/>
      <c r="C19" s="264">
        <v>2225646</v>
      </c>
    </row>
    <row r="20" spans="1:2" ht="18.75">
      <c r="A20" s="90"/>
      <c r="B20" s="90"/>
    </row>
    <row r="21" spans="1:3" ht="116.25" customHeight="1">
      <c r="A21" s="62"/>
      <c r="B21" s="67" t="str">
        <f>A1</f>
        <v>UBND HUYỆN</v>
      </c>
      <c r="C21" s="95" t="str">
        <f>A2</f>
        <v>ĐIỆN LỰC KON RẪY</v>
      </c>
    </row>
  </sheetData>
  <sheetProtection/>
  <mergeCells count="4">
    <mergeCell ref="A19:B19"/>
    <mergeCell ref="A1:B1"/>
    <mergeCell ref="A2:B2"/>
    <mergeCell ref="A6:C6"/>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E23"/>
  <sheetViews>
    <sheetView view="pageBreakPreview" zoomScale="115" zoomScaleSheetLayoutView="115" zoomScalePageLayoutView="0" workbookViewId="0" topLeftCell="A10">
      <selection activeCell="D18" sqref="D18"/>
    </sheetView>
  </sheetViews>
  <sheetFormatPr defaultColWidth="8.88671875" defaultRowHeight="18.75"/>
  <cols>
    <col min="1" max="1" width="4.77734375" style="0" customWidth="1"/>
    <col min="2" max="2" width="25.4453125" style="0" customWidth="1"/>
    <col min="3" max="3" width="23.6640625" style="0" customWidth="1"/>
    <col min="4" max="4" width="14.77734375" style="0" customWidth="1"/>
  </cols>
  <sheetData>
    <row r="1" spans="1:4" ht="18.75">
      <c r="A1" s="390" t="str">
        <f>'THÔNG TIN CHUNG'!A1:B1</f>
        <v>UBND HUYỆN</v>
      </c>
      <c r="B1" s="390"/>
      <c r="C1" s="391" t="s">
        <v>200</v>
      </c>
      <c r="D1" s="391"/>
    </row>
    <row r="2" spans="1:4" ht="42" customHeight="1">
      <c r="A2" s="399" t="str">
        <f>'THÔNG TIN CHUNG'!B17</f>
        <v>TRUNG TÂM MÔI TRƯỜNG VÀ DỊCH VỤ ĐÔ THỊ</v>
      </c>
      <c r="B2" s="399"/>
      <c r="C2" s="393" t="s">
        <v>201</v>
      </c>
      <c r="D2" s="393"/>
    </row>
    <row r="3" spans="1:3" ht="4.5" customHeight="1">
      <c r="A3" s="55"/>
      <c r="B3" s="57"/>
      <c r="C3" s="57"/>
    </row>
    <row r="4" spans="1:4" ht="18.75">
      <c r="A4" s="55"/>
      <c r="B4" s="57"/>
      <c r="C4" s="394" t="str">
        <f>'THÔNG TIN CHUNG'!C4:F4</f>
        <v>Kon Rẫy, ngày …. tháng …. năm 202..</v>
      </c>
      <c r="D4" s="394"/>
    </row>
    <row r="5" spans="1:3" ht="5.25" customHeight="1">
      <c r="A5" s="55"/>
      <c r="B5" s="57"/>
      <c r="C5" s="57"/>
    </row>
    <row r="6" spans="1:4" ht="54.75" customHeight="1">
      <c r="A6" s="451" t="s">
        <v>354</v>
      </c>
      <c r="B6" s="451"/>
      <c r="C6" s="451"/>
      <c r="D6" s="451"/>
    </row>
    <row r="7" spans="1:3" ht="18.75">
      <c r="A7" s="109" t="s">
        <v>26</v>
      </c>
      <c r="B7" s="449" t="s">
        <v>571</v>
      </c>
      <c r="C7" s="449"/>
    </row>
    <row r="8" spans="1:5" ht="47.25">
      <c r="A8" s="59" t="s">
        <v>9</v>
      </c>
      <c r="B8" s="59" t="s">
        <v>258</v>
      </c>
      <c r="C8" s="59" t="s">
        <v>353</v>
      </c>
      <c r="D8" s="59" t="s">
        <v>572</v>
      </c>
      <c r="E8" s="136"/>
    </row>
    <row r="9" spans="1:4" ht="18.75">
      <c r="A9" s="60" t="s">
        <v>1</v>
      </c>
      <c r="B9" s="81" t="s">
        <v>259</v>
      </c>
      <c r="C9" s="59">
        <f>+SUM(C10:C13)</f>
        <v>860</v>
      </c>
      <c r="D9" s="59"/>
    </row>
    <row r="10" spans="1:4" ht="18.75">
      <c r="A10" s="11">
        <v>1</v>
      </c>
      <c r="B10" s="31" t="s">
        <v>260</v>
      </c>
      <c r="C10" s="52">
        <v>125</v>
      </c>
      <c r="D10" s="59"/>
    </row>
    <row r="11" spans="1:4" ht="18.75">
      <c r="A11" s="11">
        <v>2</v>
      </c>
      <c r="B11" s="31" t="s">
        <v>261</v>
      </c>
      <c r="C11" s="52">
        <v>415</v>
      </c>
      <c r="D11" s="59"/>
    </row>
    <row r="12" spans="1:4" s="18" customFormat="1" ht="18.75">
      <c r="A12" s="11">
        <v>3</v>
      </c>
      <c r="B12" s="31" t="s">
        <v>262</v>
      </c>
      <c r="C12" s="52">
        <v>140</v>
      </c>
      <c r="D12" s="52"/>
    </row>
    <row r="13" spans="1:4" ht="18.75">
      <c r="A13" s="11">
        <v>4</v>
      </c>
      <c r="B13" s="31" t="s">
        <v>264</v>
      </c>
      <c r="C13" s="52">
        <v>180</v>
      </c>
      <c r="D13" s="59"/>
    </row>
    <row r="14" spans="1:4" ht="18.75">
      <c r="A14" s="60" t="s">
        <v>3</v>
      </c>
      <c r="B14" s="81" t="s">
        <v>263</v>
      </c>
      <c r="C14" s="59">
        <f>+SUM(C15:C16)</f>
        <v>348</v>
      </c>
      <c r="D14" s="59"/>
    </row>
    <row r="15" spans="1:4" ht="18.75" customHeight="1">
      <c r="A15" s="11">
        <v>1</v>
      </c>
      <c r="B15" s="31" t="s">
        <v>265</v>
      </c>
      <c r="C15" s="52">
        <v>135</v>
      </c>
      <c r="D15" s="59"/>
    </row>
    <row r="16" spans="1:4" ht="18.75">
      <c r="A16" s="11">
        <v>2</v>
      </c>
      <c r="B16" s="31" t="s">
        <v>266</v>
      </c>
      <c r="C16" s="52">
        <v>213</v>
      </c>
      <c r="D16" s="59"/>
    </row>
    <row r="17" spans="2:4" ht="18.75">
      <c r="B17" s="81" t="s">
        <v>269</v>
      </c>
      <c r="C17" s="256">
        <f>+C14+C9</f>
        <v>1208</v>
      </c>
      <c r="D17" s="256"/>
    </row>
    <row r="18" spans="1:4" ht="18.75">
      <c r="A18" s="81"/>
      <c r="B18" s="81" t="s">
        <v>570</v>
      </c>
      <c r="C18" s="256">
        <f>5419*0.91</f>
        <v>4931.29</v>
      </c>
      <c r="D18" s="357"/>
    </row>
    <row r="19" spans="1:3" ht="18.75">
      <c r="A19" s="90" t="s">
        <v>27</v>
      </c>
      <c r="B19" s="450" t="s">
        <v>433</v>
      </c>
      <c r="C19" s="450"/>
    </row>
    <row r="20" spans="1:4" ht="31.5" customHeight="1">
      <c r="A20" s="59" t="s">
        <v>9</v>
      </c>
      <c r="B20" s="59" t="s">
        <v>434</v>
      </c>
      <c r="C20" s="415" t="s">
        <v>435</v>
      </c>
      <c r="D20" s="415"/>
    </row>
    <row r="21" spans="1:4" ht="18.75">
      <c r="A21" s="60"/>
      <c r="B21" s="60"/>
      <c r="C21" s="447">
        <v>500</v>
      </c>
      <c r="D21" s="448"/>
    </row>
    <row r="22" spans="1:2" ht="18.75">
      <c r="A22" s="90"/>
      <c r="B22" s="90"/>
    </row>
    <row r="23" spans="1:4" ht="126.75" customHeight="1">
      <c r="A23" s="62"/>
      <c r="B23" s="67" t="str">
        <f>A1</f>
        <v>UBND HUYỆN</v>
      </c>
      <c r="C23" s="404" t="str">
        <f>A2</f>
        <v>TRUNG TÂM MÔI TRƯỜNG VÀ DỊCH VỤ ĐÔ THỊ</v>
      </c>
      <c r="D23" s="404"/>
    </row>
  </sheetData>
  <sheetProtection/>
  <mergeCells count="11">
    <mergeCell ref="C1:D1"/>
    <mergeCell ref="C2:D2"/>
    <mergeCell ref="C4:D4"/>
    <mergeCell ref="C20:D20"/>
    <mergeCell ref="C21:D21"/>
    <mergeCell ref="C23:D23"/>
    <mergeCell ref="A1:B1"/>
    <mergeCell ref="A2:B2"/>
    <mergeCell ref="B7:C7"/>
    <mergeCell ref="B19:C19"/>
    <mergeCell ref="A6:D6"/>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D12"/>
  <sheetViews>
    <sheetView view="pageBreakPreview" zoomScale="145" zoomScaleSheetLayoutView="145" zoomScalePageLayoutView="0" workbookViewId="0" topLeftCell="A7">
      <selection activeCell="C10" sqref="C10"/>
    </sheetView>
  </sheetViews>
  <sheetFormatPr defaultColWidth="8.88671875" defaultRowHeight="18.75"/>
  <cols>
    <col min="1" max="1" width="4.77734375" style="0" customWidth="1"/>
    <col min="2" max="2" width="26.5546875" style="0" customWidth="1"/>
    <col min="3" max="4" width="20.88671875" style="0" customWidth="1"/>
  </cols>
  <sheetData>
    <row r="1" spans="1:4" ht="18.75">
      <c r="A1" s="390" t="str">
        <f>'THÔNG TIN CHUNG'!A1:B1</f>
        <v>UBND HUYỆN</v>
      </c>
      <c r="B1" s="390"/>
      <c r="C1" s="391" t="s">
        <v>200</v>
      </c>
      <c r="D1" s="391"/>
    </row>
    <row r="2" spans="1:4" ht="18.75">
      <c r="A2" s="399" t="str">
        <f>'THÔNG TIN CHUNG'!B16</f>
        <v>PHÒNG VĂN HÓA - THÔNG TIN</v>
      </c>
      <c r="B2" s="399"/>
      <c r="C2" s="393" t="s">
        <v>201</v>
      </c>
      <c r="D2" s="393"/>
    </row>
    <row r="3" spans="1:3" ht="18.75">
      <c r="A3" s="55"/>
      <c r="B3" s="57"/>
      <c r="C3" s="57"/>
    </row>
    <row r="4" spans="1:4" ht="18.75">
      <c r="A4" s="55"/>
      <c r="B4" s="57"/>
      <c r="C4" s="452" t="str">
        <f>'THÔNG TIN CHUNG'!C4:F4</f>
        <v>Kon Rẫy, ngày …. tháng …. năm 202..</v>
      </c>
      <c r="D4" s="452"/>
    </row>
    <row r="5" spans="1:3" ht="10.5" customHeight="1">
      <c r="A5" s="55"/>
      <c r="B5" s="57"/>
      <c r="C5" s="57"/>
    </row>
    <row r="6" spans="1:4" ht="54.75" customHeight="1">
      <c r="A6" s="418" t="s">
        <v>358</v>
      </c>
      <c r="B6" s="418"/>
      <c r="C6" s="418"/>
      <c r="D6" s="418"/>
    </row>
    <row r="7" spans="1:4" ht="47.25">
      <c r="A7" s="59" t="s">
        <v>9</v>
      </c>
      <c r="B7" s="59" t="s">
        <v>258</v>
      </c>
      <c r="C7" s="59" t="s">
        <v>580</v>
      </c>
      <c r="D7" s="99" t="s">
        <v>359</v>
      </c>
    </row>
    <row r="8" spans="1:4" ht="18.75">
      <c r="A8" s="60" t="s">
        <v>1</v>
      </c>
      <c r="B8" s="81" t="s">
        <v>259</v>
      </c>
      <c r="C8" s="52">
        <v>1340</v>
      </c>
      <c r="D8" s="241">
        <v>396</v>
      </c>
    </row>
    <row r="9" spans="1:4" ht="18.75">
      <c r="A9" s="60" t="s">
        <v>3</v>
      </c>
      <c r="B9" s="81" t="s">
        <v>263</v>
      </c>
      <c r="C9" s="52">
        <v>2510</v>
      </c>
      <c r="D9" s="241">
        <v>483</v>
      </c>
    </row>
    <row r="10" spans="1:4" ht="18.75">
      <c r="A10" s="411" t="s">
        <v>269</v>
      </c>
      <c r="B10" s="411"/>
      <c r="C10" s="256">
        <f>+C9+C8</f>
        <v>3850</v>
      </c>
      <c r="D10" s="290">
        <f>+D8+D9</f>
        <v>879</v>
      </c>
    </row>
    <row r="11" spans="1:2" ht="14.25" customHeight="1">
      <c r="A11" s="90"/>
      <c r="B11" s="90"/>
    </row>
    <row r="12" spans="1:4" ht="126.75" customHeight="1">
      <c r="A12" s="62"/>
      <c r="B12" s="67" t="str">
        <f>A1</f>
        <v>UBND HUYỆN</v>
      </c>
      <c r="C12" s="404" t="str">
        <f>A2</f>
        <v>PHÒNG VĂN HÓA - THÔNG TIN</v>
      </c>
      <c r="D12" s="404"/>
    </row>
  </sheetData>
  <sheetProtection/>
  <mergeCells count="8">
    <mergeCell ref="C12:D12"/>
    <mergeCell ref="A6:D6"/>
    <mergeCell ref="A1:B1"/>
    <mergeCell ref="A2:B2"/>
    <mergeCell ref="A10:B10"/>
    <mergeCell ref="C1:D1"/>
    <mergeCell ref="C2:D2"/>
    <mergeCell ref="C4:D4"/>
  </mergeCells>
  <printOptions/>
  <pageMargins left="0.7" right="0.7" top="0.75" bottom="0.75" header="0.3" footer="0.3"/>
  <pageSetup horizontalDpi="600" verticalDpi="600" orientation="portrait" scale="98" r:id="rId1"/>
</worksheet>
</file>

<file path=xl/worksheets/sheet18.xml><?xml version="1.0" encoding="utf-8"?>
<worksheet xmlns="http://schemas.openxmlformats.org/spreadsheetml/2006/main" xmlns:r="http://schemas.openxmlformats.org/officeDocument/2006/relationships">
  <dimension ref="A1:D13"/>
  <sheetViews>
    <sheetView view="pageBreakPreview" zoomScale="115" zoomScaleSheetLayoutView="115" zoomScalePageLayoutView="0" workbookViewId="0" topLeftCell="A31">
      <selection activeCell="C8" sqref="C8:D11"/>
    </sheetView>
  </sheetViews>
  <sheetFormatPr defaultColWidth="8.88671875" defaultRowHeight="18.75"/>
  <cols>
    <col min="1" max="1" width="2.99609375" style="0" bestFit="1" customWidth="1"/>
    <col min="2" max="2" width="27.5546875" style="0" customWidth="1"/>
    <col min="3" max="3" width="19.88671875" style="0" customWidth="1"/>
    <col min="4" max="4" width="20.21484375" style="0" customWidth="1"/>
  </cols>
  <sheetData>
    <row r="1" spans="1:4" ht="18.75">
      <c r="A1" s="390" t="str">
        <f>'THÔNG TIN CHUNG'!A1:B1</f>
        <v>UBND HUYỆN</v>
      </c>
      <c r="B1" s="390"/>
      <c r="C1" s="391" t="s">
        <v>200</v>
      </c>
      <c r="D1" s="391"/>
    </row>
    <row r="2" spans="1:4" ht="18.75">
      <c r="A2" s="399" t="str">
        <f>'THÔNG TIN CHUNG'!B19</f>
        <v>VĂN PHÒNG HĐND-UBND</v>
      </c>
      <c r="B2" s="399"/>
      <c r="C2" s="393" t="s">
        <v>201</v>
      </c>
      <c r="D2" s="393"/>
    </row>
    <row r="3" spans="1:3" ht="6" customHeight="1">
      <c r="A3" s="55"/>
      <c r="B3" s="57"/>
      <c r="C3" s="57"/>
    </row>
    <row r="4" spans="1:4" ht="18.75">
      <c r="A4" s="55"/>
      <c r="B4" s="57"/>
      <c r="C4" s="452" t="str">
        <f>'THÔNG TIN CHUNG'!C4:F4</f>
        <v>Kon Rẫy, ngày …. tháng …. năm 202..</v>
      </c>
      <c r="D4" s="452"/>
    </row>
    <row r="5" spans="1:3" ht="8.25" customHeight="1">
      <c r="A5" s="55"/>
      <c r="B5" s="57"/>
      <c r="C5" s="57"/>
    </row>
    <row r="6" spans="1:4" ht="54.75" customHeight="1">
      <c r="A6" s="418" t="s">
        <v>360</v>
      </c>
      <c r="B6" s="418"/>
      <c r="C6" s="418"/>
      <c r="D6" s="418"/>
    </row>
    <row r="7" spans="1:4" ht="18.75">
      <c r="A7" s="59" t="s">
        <v>9</v>
      </c>
      <c r="B7" s="59" t="s">
        <v>287</v>
      </c>
      <c r="C7" s="59" t="s">
        <v>361</v>
      </c>
      <c r="D7" s="99" t="s">
        <v>271</v>
      </c>
    </row>
    <row r="8" spans="1:4" s="18" customFormat="1" ht="47.25">
      <c r="A8" s="52">
        <v>1</v>
      </c>
      <c r="B8" s="53" t="s">
        <v>362</v>
      </c>
      <c r="C8" s="52" t="s">
        <v>582</v>
      </c>
      <c r="D8" s="241">
        <v>100</v>
      </c>
    </row>
    <row r="9" spans="1:4" s="18" customFormat="1" ht="31.5">
      <c r="A9" s="11">
        <v>2</v>
      </c>
      <c r="B9" s="51" t="s">
        <v>363</v>
      </c>
      <c r="C9" s="52" t="s">
        <v>581</v>
      </c>
      <c r="D9" s="241">
        <v>18.31</v>
      </c>
    </row>
    <row r="10" spans="1:4" s="18" customFormat="1" ht="31.5">
      <c r="A10" s="11">
        <v>3</v>
      </c>
      <c r="B10" s="51" t="s">
        <v>364</v>
      </c>
      <c r="C10" s="52" t="s">
        <v>583</v>
      </c>
      <c r="D10" s="241">
        <v>30.81</v>
      </c>
    </row>
    <row r="11" spans="1:4" s="18" customFormat="1" ht="31.5">
      <c r="A11" s="11">
        <v>4</v>
      </c>
      <c r="B11" s="51" t="s">
        <v>365</v>
      </c>
      <c r="C11" s="52" t="s">
        <v>584</v>
      </c>
      <c r="D11" s="291">
        <v>51.74</v>
      </c>
    </row>
    <row r="12" spans="1:2" ht="18.75">
      <c r="A12" s="90"/>
      <c r="B12" s="90"/>
    </row>
    <row r="13" spans="1:4" ht="123.75" customHeight="1">
      <c r="A13" s="62"/>
      <c r="B13" s="67" t="str">
        <f>A1</f>
        <v>UBND HUYỆN</v>
      </c>
      <c r="C13" s="404" t="str">
        <f>A2</f>
        <v>VĂN PHÒNG HĐND-UBND</v>
      </c>
      <c r="D13" s="404"/>
    </row>
  </sheetData>
  <sheetProtection/>
  <mergeCells count="7">
    <mergeCell ref="C13:D13"/>
    <mergeCell ref="A1:B1"/>
    <mergeCell ref="C1:D1"/>
    <mergeCell ref="A2:B2"/>
    <mergeCell ref="C2:D2"/>
    <mergeCell ref="C4:D4"/>
    <mergeCell ref="A6:D6"/>
  </mergeCells>
  <printOptions/>
  <pageMargins left="0.984251968503937" right="0.5905511811023622" top="0.5905511811023622" bottom="0.5905511811023622" header="0.31496062992125984" footer="0.31496062992125984"/>
  <pageSetup horizontalDpi="600" verticalDpi="600" orientation="portrait" scale="99" r:id="rId1"/>
</worksheet>
</file>

<file path=xl/worksheets/sheet19.xml><?xml version="1.0" encoding="utf-8"?>
<worksheet xmlns="http://schemas.openxmlformats.org/spreadsheetml/2006/main" xmlns:r="http://schemas.openxmlformats.org/officeDocument/2006/relationships">
  <dimension ref="A1:D13"/>
  <sheetViews>
    <sheetView view="pageBreakPreview" zoomScale="130" zoomScaleSheetLayoutView="130" zoomScalePageLayoutView="0" workbookViewId="0" topLeftCell="A1">
      <selection activeCell="B8" sqref="B8"/>
    </sheetView>
  </sheetViews>
  <sheetFormatPr defaultColWidth="8.88671875" defaultRowHeight="18.75"/>
  <cols>
    <col min="1" max="1" width="4.77734375" style="0" customWidth="1"/>
    <col min="2" max="2" width="42.3359375" style="0" customWidth="1"/>
    <col min="3" max="4" width="21.10546875" style="0" customWidth="1"/>
  </cols>
  <sheetData>
    <row r="1" spans="1:4" ht="18.75">
      <c r="A1" s="390" t="str">
        <f>'THÔNG TIN CHUNG'!A1:B1</f>
        <v>UBND HUYỆN</v>
      </c>
      <c r="B1" s="390"/>
      <c r="C1" s="391" t="s">
        <v>200</v>
      </c>
      <c r="D1" s="391"/>
    </row>
    <row r="2" spans="1:4" ht="18.75">
      <c r="A2" s="399" t="str">
        <f>'THÔNG TIN CHUNG'!B11</f>
        <v>PHÒNG KINH TẾ - HẠ TẦNG</v>
      </c>
      <c r="B2" s="399"/>
      <c r="C2" s="393" t="s">
        <v>201</v>
      </c>
      <c r="D2" s="393"/>
    </row>
    <row r="3" spans="1:3" ht="18.75">
      <c r="A3" s="55"/>
      <c r="B3" s="57"/>
      <c r="C3" s="57"/>
    </row>
    <row r="4" spans="1:4" ht="18.75">
      <c r="A4" s="55"/>
      <c r="B4" s="57"/>
      <c r="C4" s="452" t="str">
        <f>'THÔNG TIN CHUNG'!C4:F4</f>
        <v>Kon Rẫy, ngày …. tháng …. năm 202..</v>
      </c>
      <c r="D4" s="452"/>
    </row>
    <row r="5" spans="1:3" ht="18.75">
      <c r="A5" s="55"/>
      <c r="B5" s="57"/>
      <c r="C5" s="57"/>
    </row>
    <row r="6" spans="1:4" ht="54.75" customHeight="1">
      <c r="A6" s="418" t="s">
        <v>368</v>
      </c>
      <c r="B6" s="418"/>
      <c r="C6" s="418"/>
      <c r="D6" s="418"/>
    </row>
    <row r="7" spans="1:4" ht="18.75">
      <c r="A7" s="59" t="s">
        <v>9</v>
      </c>
      <c r="B7" s="59" t="s">
        <v>369</v>
      </c>
      <c r="C7" s="59" t="s">
        <v>372</v>
      </c>
      <c r="D7" s="99" t="s">
        <v>370</v>
      </c>
    </row>
    <row r="8" spans="1:4" s="18" customFormat="1" ht="18.75">
      <c r="A8" s="52">
        <v>1</v>
      </c>
      <c r="B8" s="53"/>
      <c r="C8" s="52"/>
      <c r="D8" s="111"/>
    </row>
    <row r="9" spans="1:4" s="18" customFormat="1" ht="18.75">
      <c r="A9" s="11">
        <v>2</v>
      </c>
      <c r="B9" s="112"/>
      <c r="C9" s="52"/>
      <c r="D9" s="93"/>
    </row>
    <row r="10" spans="1:4" s="18" customFormat="1" ht="18.75">
      <c r="A10" s="11">
        <v>3</v>
      </c>
      <c r="B10" s="31"/>
      <c r="C10" s="52"/>
      <c r="D10" s="93"/>
    </row>
    <row r="11" spans="1:4" s="18" customFormat="1" ht="18.75">
      <c r="A11" s="11">
        <v>4</v>
      </c>
      <c r="B11" s="31"/>
      <c r="C11" s="52"/>
      <c r="D11" s="93"/>
    </row>
    <row r="12" spans="1:2" ht="18.75">
      <c r="A12" s="90"/>
      <c r="B12" s="90"/>
    </row>
    <row r="13" spans="1:4" ht="31.5" customHeight="1">
      <c r="A13" s="62"/>
      <c r="B13" s="67" t="str">
        <f>A1</f>
        <v>UBND HUYỆN</v>
      </c>
      <c r="C13" s="404" t="str">
        <f>A2</f>
        <v>PHÒNG KINH TẾ - HẠ TẦNG</v>
      </c>
      <c r="D13" s="404"/>
    </row>
  </sheetData>
  <sheetProtection/>
  <mergeCells count="7">
    <mergeCell ref="C13:D13"/>
    <mergeCell ref="A1:B1"/>
    <mergeCell ref="C1:D1"/>
    <mergeCell ref="A2:B2"/>
    <mergeCell ref="C2:D2"/>
    <mergeCell ref="C4:D4"/>
    <mergeCell ref="A6:D6"/>
  </mergeCells>
  <printOptions/>
  <pageMargins left="0.7" right="0.7" top="0.75" bottom="0.75" header="0.3" footer="0.3"/>
  <pageSetup horizontalDpi="600" verticalDpi="600" orientation="portrait" scale="80" r:id="rId1"/>
</worksheet>
</file>

<file path=xl/worksheets/sheet2.xml><?xml version="1.0" encoding="utf-8"?>
<worksheet xmlns="http://schemas.openxmlformats.org/spreadsheetml/2006/main" xmlns:r="http://schemas.openxmlformats.org/officeDocument/2006/relationships">
  <dimension ref="A1:E24"/>
  <sheetViews>
    <sheetView view="pageBreakPreview" zoomScale="115" zoomScaleSheetLayoutView="115" zoomScalePageLayoutView="0" workbookViewId="0" topLeftCell="A13">
      <selection activeCell="B24" sqref="B24"/>
    </sheetView>
  </sheetViews>
  <sheetFormatPr defaultColWidth="8.88671875" defaultRowHeight="18.75"/>
  <cols>
    <col min="1" max="1" width="6.5546875" style="0" customWidth="1"/>
    <col min="2" max="2" width="31.6640625" style="0" customWidth="1"/>
    <col min="3" max="3" width="52.77734375" style="0" customWidth="1"/>
    <col min="4" max="6" width="14.21484375" style="0" customWidth="1"/>
  </cols>
  <sheetData>
    <row r="1" spans="1:3" ht="50.25" customHeight="1">
      <c r="A1" s="395" t="s">
        <v>408</v>
      </c>
      <c r="B1" s="395"/>
      <c r="C1" s="395"/>
    </row>
    <row r="3" spans="1:3" ht="18.75">
      <c r="A3" s="132" t="s">
        <v>9</v>
      </c>
      <c r="B3" s="132" t="s">
        <v>409</v>
      </c>
      <c r="C3" s="132" t="s">
        <v>410</v>
      </c>
    </row>
    <row r="4" spans="1:5" ht="18.75">
      <c r="A4" s="126">
        <v>1</v>
      </c>
      <c r="B4" s="134" t="s">
        <v>411</v>
      </c>
      <c r="C4" s="122" t="str">
        <f>'THÔNG TIN CHUNG'!B10</f>
        <v>PHÒNG TÀI CHÍNH - KẾ HOẠCH</v>
      </c>
      <c r="D4" s="398"/>
      <c r="E4" s="399"/>
    </row>
    <row r="5" spans="1:3" ht="18.75">
      <c r="A5" s="126">
        <v>2</v>
      </c>
      <c r="B5" s="134" t="s">
        <v>412</v>
      </c>
      <c r="C5" s="133" t="str">
        <f>'THÔNG TIN CHUNG'!B21</f>
        <v>CHI CỤC THỐNG KÊ KHU VỰC 
KON PLONG - KON RẪY</v>
      </c>
    </row>
    <row r="6" spans="1:3" ht="18.75">
      <c r="A6" s="126">
        <v>3</v>
      </c>
      <c r="B6" s="134" t="s">
        <v>413</v>
      </c>
      <c r="C6" s="133" t="str">
        <f>'THÔNG TIN CHUNG'!B14</f>
        <v>PHÒNG LAO ĐỘNG - THƯƠNG BINH &amp; XÃ HỘI</v>
      </c>
    </row>
    <row r="7" spans="1:3" ht="18.75">
      <c r="A7" s="126">
        <v>4</v>
      </c>
      <c r="B7" s="134" t="s">
        <v>414</v>
      </c>
      <c r="C7" s="133" t="str">
        <f>'THÔNG TIN CHUNG'!B20</f>
        <v>CÔNG AN HUYỆN KON RẪY</v>
      </c>
    </row>
    <row r="8" spans="1:5" ht="18.75">
      <c r="A8" s="126">
        <v>5</v>
      </c>
      <c r="B8" s="134" t="s">
        <v>415</v>
      </c>
      <c r="C8" s="133" t="str">
        <f>'THÔNG TIN CHUNG'!B11</f>
        <v>PHÒNG KINH TẾ - HẠ TẦNG</v>
      </c>
      <c r="D8" s="396"/>
      <c r="E8" s="397"/>
    </row>
    <row r="9" spans="1:3" ht="18.75">
      <c r="A9" s="126">
        <v>6</v>
      </c>
      <c r="B9" s="134" t="s">
        <v>416</v>
      </c>
      <c r="C9" s="133" t="str">
        <f>'THÔNG TIN CHUNG'!B24</f>
        <v>PHÒNG TÀI NGUYÊN - MÔI TRƯỜNG</v>
      </c>
    </row>
    <row r="10" spans="1:3" ht="18.75">
      <c r="A10" s="126">
        <v>7</v>
      </c>
      <c r="B10" s="134" t="s">
        <v>417</v>
      </c>
      <c r="C10" s="133" t="str">
        <f>'THÔNG TIN CHUNG'!B22</f>
        <v>PHÒNG Y TẾ</v>
      </c>
    </row>
    <row r="11" spans="1:3" ht="18.75">
      <c r="A11" s="126">
        <v>8</v>
      </c>
      <c r="B11" s="134" t="s">
        <v>418</v>
      </c>
      <c r="C11" s="133" t="str">
        <f>'THÔNG TIN CHUNG'!B15</f>
        <v>PHÒNG GIÁO DỤC &amp; ĐÀO TẠO</v>
      </c>
    </row>
    <row r="12" spans="1:3" ht="18.75">
      <c r="A12" s="126">
        <v>9</v>
      </c>
      <c r="B12" s="134" t="s">
        <v>419</v>
      </c>
      <c r="C12" s="133" t="str">
        <f>'THÔNG TIN CHUNG'!B16</f>
        <v>PHÒNG VĂN HÓA - THÔNG TIN</v>
      </c>
    </row>
    <row r="13" spans="1:3" ht="18.75">
      <c r="A13" s="126">
        <v>10</v>
      </c>
      <c r="B13" s="134" t="s">
        <v>420</v>
      </c>
      <c r="C13" s="133" t="str">
        <f>'THÔNG TIN CHUNG'!B11</f>
        <v>PHÒNG KINH TẾ - HẠ TẦNG</v>
      </c>
    </row>
    <row r="14" spans="1:3" ht="18.75">
      <c r="A14" s="126">
        <v>11</v>
      </c>
      <c r="B14" s="134" t="s">
        <v>421</v>
      </c>
      <c r="C14" s="133" t="str">
        <f>'THÔNG TIN CHUNG'!B12</f>
        <v>PHÒNG NÔNG NGHIỆP &amp; PHÁT TRIỂN NÔNG THÔN</v>
      </c>
    </row>
    <row r="15" spans="1:3" ht="18.75">
      <c r="A15" s="126">
        <v>12</v>
      </c>
      <c r="B15" s="134" t="s">
        <v>422</v>
      </c>
      <c r="C15" s="133" t="str">
        <f>'THÔNG TIN CHUNG'!B17</f>
        <v>TRUNG TÂM MÔI TRƯỜNG VÀ DỊCH VỤ ĐÔ THỊ</v>
      </c>
    </row>
    <row r="16" spans="1:3" ht="18.75">
      <c r="A16" s="126">
        <v>13</v>
      </c>
      <c r="B16" s="134" t="s">
        <v>423</v>
      </c>
      <c r="C16" s="133" t="str">
        <f>'THÔNG TIN CHUNG'!B23</f>
        <v>ĐIỆN LỰC KON RẪY</v>
      </c>
    </row>
    <row r="17" spans="1:3" ht="18.75">
      <c r="A17" s="126">
        <v>14</v>
      </c>
      <c r="B17" s="134" t="s">
        <v>424</v>
      </c>
      <c r="C17" s="133" t="str">
        <f>'THÔNG TIN CHUNG'!B17</f>
        <v>TRUNG TÂM MÔI TRƯỜNG VÀ DỊCH VỤ ĐÔ THỊ</v>
      </c>
    </row>
    <row r="18" spans="1:3" ht="18.75">
      <c r="A18" s="126">
        <v>15</v>
      </c>
      <c r="B18" s="134" t="s">
        <v>425</v>
      </c>
      <c r="C18" s="133" t="str">
        <f>'THÔNG TIN CHUNG'!B16</f>
        <v>PHÒNG VĂN HÓA - THÔNG TIN</v>
      </c>
    </row>
    <row r="19" spans="1:3" ht="18.75">
      <c r="A19" s="126">
        <v>16</v>
      </c>
      <c r="B19" s="134" t="s">
        <v>426</v>
      </c>
      <c r="C19" s="133" t="str">
        <f>'THÔNG TIN CHUNG'!B19</f>
        <v>VĂN PHÒNG HĐND-UBND</v>
      </c>
    </row>
    <row r="20" spans="1:3" ht="18.75">
      <c r="A20" s="126">
        <v>17</v>
      </c>
      <c r="B20" s="134" t="s">
        <v>427</v>
      </c>
      <c r="C20" s="133" t="str">
        <f>'THÔNG TIN CHUNG'!B11</f>
        <v>PHÒNG KINH TẾ - HẠ TẦNG</v>
      </c>
    </row>
    <row r="21" spans="1:3" ht="18.75">
      <c r="A21" s="126">
        <v>18</v>
      </c>
      <c r="B21" s="134" t="s">
        <v>428</v>
      </c>
      <c r="C21" s="133" t="str">
        <f>'THÔNG TIN CHUNG'!B17</f>
        <v>TRUNG TÂM MÔI TRƯỜNG VÀ DỊCH VỤ ĐÔ THỊ</v>
      </c>
    </row>
    <row r="22" spans="1:3" ht="18.75">
      <c r="A22" s="126">
        <v>19</v>
      </c>
      <c r="B22" s="134" t="s">
        <v>429</v>
      </c>
      <c r="C22" s="133" t="str">
        <f>'THÔNG TIN CHUNG'!B11</f>
        <v>PHÒNG KINH TẾ - HẠ TẦNG</v>
      </c>
    </row>
    <row r="23" spans="1:3" ht="18.75">
      <c r="A23" s="126">
        <v>20</v>
      </c>
      <c r="B23" s="134" t="s">
        <v>430</v>
      </c>
      <c r="C23" s="133" t="str">
        <f>'THÔNG TIN CHUNG'!B11</f>
        <v>PHÒNG KINH TẾ - HẠ TẦNG</v>
      </c>
    </row>
    <row r="24" spans="1:3" ht="18.75">
      <c r="A24" s="126">
        <v>20</v>
      </c>
      <c r="B24" s="134" t="s">
        <v>431</v>
      </c>
      <c r="C24" s="133"/>
    </row>
  </sheetData>
  <sheetProtection/>
  <mergeCells count="3">
    <mergeCell ref="A1:C1"/>
    <mergeCell ref="D8:E8"/>
    <mergeCell ref="D4:E4"/>
  </mergeCells>
  <hyperlinks>
    <hyperlink ref="B4" location="'Biểu 1 Thu chi ngân sách'!A1" display="BIEU 1 Thu chi ngan sach'!A1"/>
    <hyperlink ref="B5" location="'Biểu 2 Chi tiêu KTXH'!A1" display="BIEU 2 Chi tieu KTXH'!A1"/>
    <hyperlink ref="B6" location="'Biểu 3 Hộ nghèo'!A1" display="Bieu 3 Ho ngheo'!A1"/>
    <hyperlink ref="B8" location="'Biểu 5 Nhà ở'!A1" display="Bieu 5 Nha o'!A1"/>
    <hyperlink ref="B9" location="'Biểu 6 Cơ cấu SDD'!A1" display="Bieu 6 Co cau SDD'!A1"/>
    <hyperlink ref="B10" location="'Biểu 7 Cơ sở y tế'!A1" display="Bieu 7 Co so y te'!A1"/>
    <hyperlink ref="B11" location="'Biểu 8 Cơ sở giáo dục'!A1" display="Bieu 8 Co so giao duc'!A1"/>
    <hyperlink ref="B12" location="'Biểu 9 Ctrinh văn hóa'!A1" display="Bieu 9 Ctrinh van hoa'!A1"/>
    <hyperlink ref="B13" location="'Biểu 10 Ctrinh TMDV'!A1" display="Bieu 10 Ctrinh TMDV'!A1"/>
    <hyperlink ref="B14" location="'Biểu 11 Giao thông'!A1" display="Bieu 11 Giao thong'!A1"/>
    <hyperlink ref="B15" location="'Biểu 12 Vận tải công cộng'!A1" display="Bieu 12 Van tai cong cong'!A1"/>
    <hyperlink ref="B16" location="'Biểu 13 Cấp điện'!A1" display="Bieu 13 Cap dien'!A1"/>
    <hyperlink ref="B17" location="'Biểu 14 Cấp nước'!A1" display="Bieu 14 Cap nuoc'!A1"/>
    <hyperlink ref="B18" location="'Biểu 15 Viễn thông'!A1" display="Bieu 15 Vien thong'!A1"/>
    <hyperlink ref="B19" location="'Biểu 16 DV công trực tuyến'!A1" display="Bieu 16 Dich vu cong truc tuyen'!A1"/>
    <hyperlink ref="B20" location="'Biểu 17 Chống ngập úng'!A1" display="Bieu 17 Chống ngập úng'!A1"/>
    <hyperlink ref="B21" location="'Biểu 18 Thu gom CTR'!A1" display="Bieu 18 Thu gom CTR'!A1"/>
    <hyperlink ref="B22" location="'Biểu 19 Nghĩa trang-Cây xanhĐT'!A1" display="Bieu 19 Nghĩa trang-Cây xanhĐT'!A1"/>
    <hyperlink ref="B23" location="'Biểu 20 KGCC-Kiến trúc TB'!A1" display="Bieu 20 KGCC-Kiến trúc TB'!A1"/>
    <hyperlink ref="B24" location="'Bảng tổng hợp'!A1" display="TONG HOP'!A1"/>
    <hyperlink ref="B7" location="'Biểu 4 Dân số tạm trú'!A1" display="Bieu 4 Dan so tam tru'!A1"/>
  </hyperlinks>
  <printOptions/>
  <pageMargins left="0.7" right="0.7" top="0.75" bottom="0.75" header="0.3" footer="0.3"/>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E22"/>
  <sheetViews>
    <sheetView zoomScalePageLayoutView="0" workbookViewId="0" topLeftCell="A3">
      <selection activeCell="D10" sqref="D10"/>
    </sheetView>
  </sheetViews>
  <sheetFormatPr defaultColWidth="8.88671875" defaultRowHeight="18.75"/>
  <cols>
    <col min="1" max="1" width="4.77734375" style="0" customWidth="1"/>
    <col min="2" max="2" width="38.4453125" style="0" customWidth="1"/>
    <col min="3" max="5" width="14.21484375" style="0" customWidth="1"/>
  </cols>
  <sheetData>
    <row r="1" spans="1:5" ht="18.75">
      <c r="A1" s="390" t="str">
        <f>'THÔNG TIN CHUNG'!A1:B1</f>
        <v>UBND HUYỆN</v>
      </c>
      <c r="B1" s="390"/>
      <c r="C1" s="391" t="s">
        <v>200</v>
      </c>
      <c r="D1" s="391"/>
      <c r="E1" s="391"/>
    </row>
    <row r="2" spans="1:5" ht="18.75">
      <c r="A2" s="399" t="str">
        <f>'THÔNG TIN CHUNG'!B17</f>
        <v>TRUNG TÂM MÔI TRƯỜNG VÀ DỊCH VỤ ĐÔ THỊ</v>
      </c>
      <c r="B2" s="399"/>
      <c r="C2" s="393" t="s">
        <v>201</v>
      </c>
      <c r="D2" s="393"/>
      <c r="E2" s="393"/>
    </row>
    <row r="3" spans="1:3" ht="18.75">
      <c r="A3" s="55"/>
      <c r="B3" s="57"/>
      <c r="C3" s="57"/>
    </row>
    <row r="4" spans="1:5" ht="18.75">
      <c r="A4" s="55"/>
      <c r="B4" s="57"/>
      <c r="C4" s="394" t="str">
        <f>'THÔNG TIN CHUNG'!C4:F4</f>
        <v>Kon Rẫy, ngày …. tháng …. năm 202..</v>
      </c>
      <c r="D4" s="394"/>
      <c r="E4" s="394"/>
    </row>
    <row r="5" spans="1:3" ht="18.75">
      <c r="A5" s="55"/>
      <c r="B5" s="57"/>
      <c r="C5" s="57"/>
    </row>
    <row r="6" spans="1:5" ht="54.75" customHeight="1">
      <c r="A6" s="451" t="s">
        <v>374</v>
      </c>
      <c r="B6" s="451"/>
      <c r="C6" s="451"/>
      <c r="D6" s="451"/>
      <c r="E6" s="451"/>
    </row>
    <row r="7" spans="1:5" ht="18.75">
      <c r="A7" s="109" t="s">
        <v>26</v>
      </c>
      <c r="B7" s="449" t="s">
        <v>456</v>
      </c>
      <c r="C7" s="449"/>
      <c r="D7" s="449"/>
      <c r="E7" s="449"/>
    </row>
    <row r="8" spans="1:5" ht="18.75">
      <c r="A8" s="59" t="s">
        <v>9</v>
      </c>
      <c r="B8" s="59" t="s">
        <v>287</v>
      </c>
      <c r="C8" s="59" t="s">
        <v>203</v>
      </c>
      <c r="D8" s="99" t="s">
        <v>375</v>
      </c>
      <c r="E8" s="99" t="s">
        <v>271</v>
      </c>
    </row>
    <row r="9" spans="1:5" ht="18.75">
      <c r="A9" s="59" t="s">
        <v>1</v>
      </c>
      <c r="B9" s="32" t="s">
        <v>376</v>
      </c>
      <c r="C9" s="59"/>
      <c r="D9" s="99"/>
      <c r="E9" s="99"/>
    </row>
    <row r="10" spans="1:5" s="18" customFormat="1" ht="18.75">
      <c r="A10" s="52">
        <v>1</v>
      </c>
      <c r="B10" s="53" t="s">
        <v>380</v>
      </c>
      <c r="C10" s="52" t="s">
        <v>378</v>
      </c>
      <c r="D10" s="111"/>
      <c r="E10" s="111">
        <v>100</v>
      </c>
    </row>
    <row r="11" spans="1:5" ht="31.5">
      <c r="A11" s="52">
        <v>2</v>
      </c>
      <c r="B11" s="53" t="s">
        <v>381</v>
      </c>
      <c r="C11" s="52" t="s">
        <v>378</v>
      </c>
      <c r="D11" s="99"/>
      <c r="E11" s="217">
        <v>100</v>
      </c>
    </row>
    <row r="12" spans="1:5" s="88" customFormat="1" ht="18.75">
      <c r="A12" s="59" t="s">
        <v>3</v>
      </c>
      <c r="B12" s="32" t="s">
        <v>377</v>
      </c>
      <c r="C12" s="59"/>
      <c r="D12" s="99"/>
      <c r="E12" s="94"/>
    </row>
    <row r="13" spans="1:5" s="18" customFormat="1" ht="18.75">
      <c r="A13" s="52">
        <v>1</v>
      </c>
      <c r="B13" s="53" t="s">
        <v>382</v>
      </c>
      <c r="C13" s="52" t="s">
        <v>379</v>
      </c>
      <c r="D13" s="111"/>
      <c r="E13" s="113">
        <v>100</v>
      </c>
    </row>
    <row r="14" spans="1:5" ht="18.75">
      <c r="A14" s="52">
        <v>2</v>
      </c>
      <c r="B14" s="53" t="s">
        <v>383</v>
      </c>
      <c r="C14" s="52" t="s">
        <v>379</v>
      </c>
      <c r="D14" s="99"/>
      <c r="E14" s="216">
        <f>+((92+95)/2)</f>
        <v>93.5</v>
      </c>
    </row>
    <row r="15" spans="1:5" s="18" customFormat="1" ht="31.5">
      <c r="A15" s="52">
        <v>3</v>
      </c>
      <c r="B15" s="53" t="s">
        <v>384</v>
      </c>
      <c r="C15" s="52" t="s">
        <v>379</v>
      </c>
      <c r="D15" s="111"/>
      <c r="E15" s="216">
        <f>+((92+95)/2)</f>
        <v>93.5</v>
      </c>
    </row>
    <row r="16" spans="1:5" s="88" customFormat="1" ht="18.75">
      <c r="A16" s="172" t="s">
        <v>27</v>
      </c>
      <c r="B16" s="453" t="s">
        <v>457</v>
      </c>
      <c r="C16" s="453"/>
      <c r="D16" s="453"/>
      <c r="E16" s="453"/>
    </row>
    <row r="17" spans="1:5" s="88" customFormat="1" ht="30.75" customHeight="1">
      <c r="A17" s="406" t="s">
        <v>9</v>
      </c>
      <c r="B17" s="454" t="s">
        <v>458</v>
      </c>
      <c r="C17" s="455"/>
      <c r="D17" s="415" t="s">
        <v>459</v>
      </c>
      <c r="E17" s="415"/>
    </row>
    <row r="18" spans="1:5" s="88" customFormat="1" ht="18.75">
      <c r="A18" s="407"/>
      <c r="B18" s="456"/>
      <c r="C18" s="457"/>
      <c r="D18" s="59" t="s">
        <v>460</v>
      </c>
      <c r="E18" s="59" t="s">
        <v>461</v>
      </c>
    </row>
    <row r="19" spans="1:5" s="88" customFormat="1" ht="18.75">
      <c r="A19" s="59">
        <v>1</v>
      </c>
      <c r="B19" s="415" t="s">
        <v>259</v>
      </c>
      <c r="C19" s="415"/>
      <c r="D19" s="59" t="s">
        <v>462</v>
      </c>
      <c r="E19" s="59"/>
    </row>
    <row r="20" spans="1:5" s="88" customFormat="1" ht="18.75">
      <c r="A20" s="59">
        <v>2</v>
      </c>
      <c r="B20" s="415" t="s">
        <v>263</v>
      </c>
      <c r="C20" s="415"/>
      <c r="D20" s="59" t="s">
        <v>462</v>
      </c>
      <c r="E20" s="32"/>
    </row>
    <row r="21" spans="1:2" ht="18.75">
      <c r="A21" s="90"/>
      <c r="B21" s="90"/>
    </row>
    <row r="22" spans="1:5" ht="31.5" customHeight="1">
      <c r="A22" s="62"/>
      <c r="B22" s="67" t="str">
        <f>A1</f>
        <v>UBND HUYỆN</v>
      </c>
      <c r="C22" s="404" t="str">
        <f>A2</f>
        <v>TRUNG TÂM MÔI TRƯỜNG VÀ DỊCH VỤ ĐÔ THỊ</v>
      </c>
      <c r="D22" s="404"/>
      <c r="E22" s="404"/>
    </row>
  </sheetData>
  <sheetProtection/>
  <mergeCells count="14">
    <mergeCell ref="B20:C20"/>
    <mergeCell ref="B17:C18"/>
    <mergeCell ref="A17:A18"/>
    <mergeCell ref="B19:C19"/>
    <mergeCell ref="C1:E1"/>
    <mergeCell ref="C2:E2"/>
    <mergeCell ref="C4:E4"/>
    <mergeCell ref="A6:E6"/>
    <mergeCell ref="C22:E22"/>
    <mergeCell ref="A1:B1"/>
    <mergeCell ref="A2:B2"/>
    <mergeCell ref="B7:E7"/>
    <mergeCell ref="B16:E16"/>
    <mergeCell ref="D17:E17"/>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A1:I23"/>
  <sheetViews>
    <sheetView zoomScalePageLayoutView="0" workbookViewId="0" topLeftCell="A4">
      <selection activeCell="D19" sqref="D19"/>
    </sheetView>
  </sheetViews>
  <sheetFormatPr defaultColWidth="8.88671875" defaultRowHeight="18.75"/>
  <cols>
    <col min="1" max="1" width="4.77734375" style="0" customWidth="1"/>
    <col min="2" max="2" width="38.4453125" style="0" customWidth="1"/>
    <col min="3" max="3" width="14.21484375" style="0" customWidth="1"/>
    <col min="4" max="4" width="13.3359375" style="0" customWidth="1"/>
    <col min="5" max="5" width="15.77734375" style="0" customWidth="1"/>
    <col min="6" max="6" width="14.21484375" style="0" customWidth="1"/>
  </cols>
  <sheetData>
    <row r="1" spans="1:6" ht="18.75">
      <c r="A1" s="390" t="str">
        <f>'THÔNG TIN CHUNG'!A1:B1</f>
        <v>UBND HUYỆN</v>
      </c>
      <c r="B1" s="390"/>
      <c r="C1" s="391" t="s">
        <v>200</v>
      </c>
      <c r="D1" s="391"/>
      <c r="E1" s="391"/>
      <c r="F1" s="391"/>
    </row>
    <row r="2" spans="1:6" ht="18.75">
      <c r="A2" s="399" t="str">
        <f>'THÔNG TIN CHUNG'!B11</f>
        <v>PHÒNG KINH TẾ - HẠ TẦNG</v>
      </c>
      <c r="B2" s="399"/>
      <c r="C2" s="393" t="s">
        <v>201</v>
      </c>
      <c r="D2" s="393"/>
      <c r="E2" s="393"/>
      <c r="F2" s="393"/>
    </row>
    <row r="3" spans="1:4" ht="18.75">
      <c r="A3" s="55"/>
      <c r="B3" s="57"/>
      <c r="C3" s="57"/>
      <c r="D3" s="57"/>
    </row>
    <row r="4" spans="1:6" ht="18.75">
      <c r="A4" s="55"/>
      <c r="B4" s="57"/>
      <c r="C4" s="394" t="str">
        <f>'THÔNG TIN CHUNG'!C4:F4</f>
        <v>Kon Rẫy, ngày …. tháng …. năm 202..</v>
      </c>
      <c r="D4" s="394"/>
      <c r="E4" s="394"/>
      <c r="F4" s="394"/>
    </row>
    <row r="5" spans="1:4" ht="18.75">
      <c r="A5" s="55"/>
      <c r="B5" s="57"/>
      <c r="C5" s="57"/>
      <c r="D5" s="57"/>
    </row>
    <row r="6" spans="1:6" ht="54.75" customHeight="1">
      <c r="A6" s="451" t="s">
        <v>387</v>
      </c>
      <c r="B6" s="451"/>
      <c r="C6" s="451"/>
      <c r="D6" s="451"/>
      <c r="E6" s="451"/>
      <c r="F6" s="451"/>
    </row>
    <row r="7" spans="1:6" ht="18.75">
      <c r="A7" s="114" t="s">
        <v>26</v>
      </c>
      <c r="B7" s="114" t="s">
        <v>389</v>
      </c>
      <c r="C7" s="114"/>
      <c r="D7" s="114"/>
      <c r="E7" s="114"/>
      <c r="F7" s="114"/>
    </row>
    <row r="8" spans="1:6" ht="33">
      <c r="A8" s="115" t="s">
        <v>9</v>
      </c>
      <c r="B8" s="115" t="s">
        <v>287</v>
      </c>
      <c r="C8" s="115" t="s">
        <v>372</v>
      </c>
      <c r="D8" s="115" t="s">
        <v>302</v>
      </c>
      <c r="E8" s="115" t="s">
        <v>392</v>
      </c>
      <c r="F8" s="115" t="s">
        <v>393</v>
      </c>
    </row>
    <row r="9" spans="1:6" ht="49.5">
      <c r="A9" s="116">
        <v>1</v>
      </c>
      <c r="B9" s="118" t="s">
        <v>391</v>
      </c>
      <c r="C9" s="116" t="s">
        <v>590</v>
      </c>
      <c r="D9" s="116">
        <v>2.4</v>
      </c>
      <c r="E9" s="116" t="s">
        <v>591</v>
      </c>
      <c r="F9" s="116" t="s">
        <v>589</v>
      </c>
    </row>
    <row r="10" spans="1:6" ht="18.75">
      <c r="A10" s="117">
        <v>2</v>
      </c>
      <c r="B10" s="118" t="s">
        <v>390</v>
      </c>
      <c r="C10" s="116"/>
      <c r="D10" s="116"/>
      <c r="E10" s="116"/>
      <c r="F10" s="116"/>
    </row>
    <row r="11" spans="1:6" ht="18.75">
      <c r="A11" s="119"/>
      <c r="B11" s="120"/>
      <c r="C11" s="114"/>
      <c r="D11" s="114"/>
      <c r="E11" s="114"/>
      <c r="F11" s="114"/>
    </row>
    <row r="12" spans="1:6" ht="18.75">
      <c r="A12" s="114" t="s">
        <v>27</v>
      </c>
      <c r="B12" s="114" t="s">
        <v>397</v>
      </c>
      <c r="C12" s="114"/>
      <c r="D12" s="114"/>
      <c r="E12" s="114"/>
      <c r="F12" s="114"/>
    </row>
    <row r="13" spans="1:8" ht="39.75" customHeight="1">
      <c r="A13" s="115" t="s">
        <v>9</v>
      </c>
      <c r="B13" s="121" t="s">
        <v>287</v>
      </c>
      <c r="C13" s="115" t="s">
        <v>372</v>
      </c>
      <c r="D13" s="115" t="s">
        <v>302</v>
      </c>
      <c r="E13" s="460" t="s">
        <v>396</v>
      </c>
      <c r="F13" s="460"/>
      <c r="G13" s="129"/>
      <c r="H13" s="129"/>
    </row>
    <row r="14" spans="1:8" ht="18.75">
      <c r="A14" s="115">
        <v>1</v>
      </c>
      <c r="B14" s="124" t="s">
        <v>400</v>
      </c>
      <c r="C14" s="124"/>
      <c r="D14" s="218">
        <f>+SUM(D15:D16)</f>
        <v>3.2</v>
      </c>
      <c r="E14" s="458">
        <f>+D14/6</f>
        <v>0.5333333333333333</v>
      </c>
      <c r="F14" s="459"/>
      <c r="G14" s="612"/>
      <c r="H14" s="129"/>
    </row>
    <row r="15" spans="1:8" s="18" customFormat="1" ht="18.75">
      <c r="A15" s="128" t="s">
        <v>296</v>
      </c>
      <c r="B15" s="125" t="s">
        <v>402</v>
      </c>
      <c r="C15" s="125"/>
      <c r="D15" s="219">
        <v>0.62</v>
      </c>
      <c r="E15" s="461">
        <f aca="true" t="shared" si="0" ref="E15:E21">+D15/6</f>
        <v>0.10333333333333333</v>
      </c>
      <c r="F15" s="462"/>
      <c r="G15" s="612"/>
      <c r="H15" s="129"/>
    </row>
    <row r="16" spans="1:8" ht="18.75">
      <c r="A16" s="123" t="s">
        <v>296</v>
      </c>
      <c r="B16" s="125" t="s">
        <v>394</v>
      </c>
      <c r="C16" s="124"/>
      <c r="D16" s="219">
        <v>2.58</v>
      </c>
      <c r="E16" s="461">
        <f t="shared" si="0"/>
        <v>0.43</v>
      </c>
      <c r="F16" s="462"/>
      <c r="G16" s="612"/>
      <c r="H16" s="129"/>
    </row>
    <row r="17" spans="1:9" ht="18.75">
      <c r="A17" s="115">
        <v>2</v>
      </c>
      <c r="B17" s="124" t="s">
        <v>398</v>
      </c>
      <c r="C17" s="124"/>
      <c r="D17" s="218">
        <f>SUM(D18:D18)</f>
        <v>7.22</v>
      </c>
      <c r="E17" s="458">
        <f t="shared" si="0"/>
        <v>1.2033333333333334</v>
      </c>
      <c r="F17" s="459"/>
      <c r="G17" s="612"/>
      <c r="H17" s="129"/>
      <c r="I17" s="254"/>
    </row>
    <row r="18" spans="1:8" s="18" customFormat="1" ht="18.75">
      <c r="A18" s="128" t="s">
        <v>296</v>
      </c>
      <c r="B18" s="125" t="s">
        <v>399</v>
      </c>
      <c r="C18" s="125"/>
      <c r="D18" s="219">
        <v>7.22</v>
      </c>
      <c r="E18" s="461">
        <f t="shared" si="0"/>
        <v>1.2033333333333334</v>
      </c>
      <c r="F18" s="462"/>
      <c r="G18" s="612"/>
      <c r="H18" s="129"/>
    </row>
    <row r="19" spans="1:8" ht="18.75">
      <c r="A19" s="59">
        <v>3</v>
      </c>
      <c r="B19" s="124" t="s">
        <v>401</v>
      </c>
      <c r="C19" s="124"/>
      <c r="D19" s="218">
        <f>SUM(D20:D20)</f>
        <v>5.52</v>
      </c>
      <c r="E19" s="458">
        <f t="shared" si="0"/>
        <v>0.9199999999999999</v>
      </c>
      <c r="F19" s="459"/>
      <c r="G19" s="612"/>
      <c r="H19" s="129"/>
    </row>
    <row r="20" spans="1:8" s="18" customFormat="1" ht="33">
      <c r="A20" s="123" t="s">
        <v>296</v>
      </c>
      <c r="B20" s="125" t="s">
        <v>395</v>
      </c>
      <c r="C20" s="125"/>
      <c r="D20" s="219">
        <v>5.52</v>
      </c>
      <c r="E20" s="461">
        <f t="shared" si="0"/>
        <v>0.9199999999999999</v>
      </c>
      <c r="F20" s="462"/>
      <c r="G20" s="612"/>
      <c r="H20" s="129"/>
    </row>
    <row r="21" spans="1:8" ht="18.75">
      <c r="A21" s="60"/>
      <c r="B21" s="411" t="s">
        <v>269</v>
      </c>
      <c r="C21" s="411"/>
      <c r="D21" s="337">
        <f>+D14+D17+D19</f>
        <v>15.94</v>
      </c>
      <c r="E21" s="458">
        <f t="shared" si="0"/>
        <v>2.6566666666666667</v>
      </c>
      <c r="F21" s="459"/>
      <c r="G21" s="612"/>
      <c r="H21" s="130"/>
    </row>
    <row r="22" spans="1:6" ht="18.75">
      <c r="A22" s="90"/>
      <c r="B22" s="90"/>
      <c r="C22" s="90"/>
      <c r="E22" s="127"/>
      <c r="F22" s="127"/>
    </row>
    <row r="23" spans="1:6" ht="31.5" customHeight="1">
      <c r="A23" s="62"/>
      <c r="B23" s="67" t="str">
        <f>A1</f>
        <v>UBND HUYỆN</v>
      </c>
      <c r="C23" s="404" t="str">
        <f>A2</f>
        <v>PHÒNG KINH TẾ - HẠ TẦNG</v>
      </c>
      <c r="D23" s="404"/>
      <c r="E23" s="404"/>
      <c r="F23" s="404"/>
    </row>
  </sheetData>
  <sheetProtection/>
  <mergeCells count="17">
    <mergeCell ref="E14:F14"/>
    <mergeCell ref="E17:F17"/>
    <mergeCell ref="E19:F19"/>
    <mergeCell ref="E20:F20"/>
    <mergeCell ref="E15:F15"/>
    <mergeCell ref="E16:F16"/>
    <mergeCell ref="E18:F18"/>
    <mergeCell ref="C23:F23"/>
    <mergeCell ref="A1:B1"/>
    <mergeCell ref="C1:F1"/>
    <mergeCell ref="A2:B2"/>
    <mergeCell ref="C2:F2"/>
    <mergeCell ref="C4:F4"/>
    <mergeCell ref="A6:F6"/>
    <mergeCell ref="B21:C21"/>
    <mergeCell ref="E21:F21"/>
    <mergeCell ref="E13:F1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F15"/>
  <sheetViews>
    <sheetView zoomScalePageLayoutView="0" workbookViewId="0" topLeftCell="A4">
      <selection activeCell="D10" sqref="D10:E10"/>
    </sheetView>
  </sheetViews>
  <sheetFormatPr defaultColWidth="8.88671875" defaultRowHeight="18.75"/>
  <cols>
    <col min="1" max="1" width="4.77734375" style="0" customWidth="1"/>
    <col min="2" max="2" width="38.88671875" style="0" customWidth="1"/>
    <col min="3" max="3" width="20.3359375" style="0" customWidth="1"/>
    <col min="4" max="4" width="15.99609375" style="0" customWidth="1"/>
  </cols>
  <sheetData>
    <row r="1" spans="1:5" ht="18.75">
      <c r="A1" s="390" t="str">
        <f>'THÔNG TIN CHUNG'!A1:B1</f>
        <v>UBND HUYỆN</v>
      </c>
      <c r="B1" s="390"/>
      <c r="C1" s="391" t="s">
        <v>200</v>
      </c>
      <c r="D1" s="391"/>
      <c r="E1" s="391"/>
    </row>
    <row r="2" spans="1:5" ht="18.75">
      <c r="A2" s="399" t="str">
        <f>'THÔNG TIN CHUNG'!B11</f>
        <v>PHÒNG KINH TẾ - HẠ TẦNG</v>
      </c>
      <c r="B2" s="399"/>
      <c r="C2" s="393" t="s">
        <v>201</v>
      </c>
      <c r="D2" s="393"/>
      <c r="E2" s="393"/>
    </row>
    <row r="3" spans="1:4" ht="18.75">
      <c r="A3" s="55"/>
      <c r="B3" s="57"/>
      <c r="C3" s="57"/>
      <c r="D3" s="57"/>
    </row>
    <row r="4" spans="1:5" ht="18.75">
      <c r="A4" s="55"/>
      <c r="B4" s="57"/>
      <c r="C4" s="394" t="str">
        <f>'THÔNG TIN CHUNG'!C4:F4</f>
        <v>Kon Rẫy, ngày …. tháng …. năm 202..</v>
      </c>
      <c r="D4" s="394"/>
      <c r="E4" s="394"/>
    </row>
    <row r="5" spans="1:4" ht="3" customHeight="1">
      <c r="A5" s="55"/>
      <c r="B5" s="57"/>
      <c r="C5" s="57"/>
      <c r="D5" s="57"/>
    </row>
    <row r="6" spans="1:5" ht="38.25" customHeight="1">
      <c r="A6" s="451" t="s">
        <v>403</v>
      </c>
      <c r="B6" s="451"/>
      <c r="C6" s="451"/>
      <c r="D6" s="451"/>
      <c r="E6" s="451"/>
    </row>
    <row r="7" spans="1:4" ht="18.75">
      <c r="A7" s="114" t="s">
        <v>26</v>
      </c>
      <c r="B7" s="114" t="s">
        <v>404</v>
      </c>
      <c r="C7" s="114"/>
      <c r="D7" s="114"/>
    </row>
    <row r="8" spans="1:5" ht="18.75">
      <c r="A8" s="115" t="s">
        <v>9</v>
      </c>
      <c r="B8" s="115" t="s">
        <v>388</v>
      </c>
      <c r="C8" s="115" t="s">
        <v>372</v>
      </c>
      <c r="D8" s="463" t="s">
        <v>302</v>
      </c>
      <c r="E8" s="463"/>
    </row>
    <row r="9" spans="1:5" ht="18.75">
      <c r="A9" s="116">
        <v>1</v>
      </c>
      <c r="B9" s="118" t="s">
        <v>550</v>
      </c>
      <c r="C9" s="116" t="s">
        <v>587</v>
      </c>
      <c r="D9" s="464">
        <v>1.3</v>
      </c>
      <c r="E9" s="464"/>
    </row>
    <row r="10" spans="1:5" ht="18.75">
      <c r="A10" s="116">
        <v>2</v>
      </c>
      <c r="B10" s="118" t="s">
        <v>537</v>
      </c>
      <c r="C10" s="116" t="s">
        <v>587</v>
      </c>
      <c r="D10" s="465">
        <v>0.288</v>
      </c>
      <c r="E10" s="466"/>
    </row>
    <row r="11" spans="1:4" ht="18.75">
      <c r="A11" s="114" t="s">
        <v>27</v>
      </c>
      <c r="B11" s="114" t="s">
        <v>406</v>
      </c>
      <c r="C11" s="114"/>
      <c r="D11" s="114"/>
    </row>
    <row r="12" spans="1:6" ht="39.75" customHeight="1">
      <c r="A12" s="115" t="s">
        <v>9</v>
      </c>
      <c r="B12" s="121" t="s">
        <v>287</v>
      </c>
      <c r="C12" s="115" t="s">
        <v>372</v>
      </c>
      <c r="D12" s="115" t="s">
        <v>302</v>
      </c>
      <c r="E12" s="115" t="s">
        <v>407</v>
      </c>
      <c r="F12" s="129"/>
    </row>
    <row r="13" spans="1:6" s="18" customFormat="1" ht="18.75">
      <c r="A13" s="116">
        <v>1</v>
      </c>
      <c r="B13" s="125" t="s">
        <v>574</v>
      </c>
      <c r="C13" s="125" t="s">
        <v>588</v>
      </c>
      <c r="D13" s="125">
        <v>1.08</v>
      </c>
      <c r="E13" s="116" t="s">
        <v>575</v>
      </c>
      <c r="F13" s="129"/>
    </row>
    <row r="14" spans="1:3" ht="18.75">
      <c r="A14" s="90"/>
      <c r="B14" s="90"/>
      <c r="C14" s="90"/>
    </row>
    <row r="15" spans="1:4" ht="31.5" customHeight="1">
      <c r="A15" s="62"/>
      <c r="B15" s="67" t="str">
        <f>A1</f>
        <v>UBND HUYỆN</v>
      </c>
      <c r="C15" s="404" t="str">
        <f>A2</f>
        <v>PHÒNG KINH TẾ - HẠ TẦNG</v>
      </c>
      <c r="D15" s="404"/>
    </row>
  </sheetData>
  <sheetProtection/>
  <mergeCells count="10">
    <mergeCell ref="A6:E6"/>
    <mergeCell ref="C15:D15"/>
    <mergeCell ref="C1:E1"/>
    <mergeCell ref="C2:E2"/>
    <mergeCell ref="C4:E4"/>
    <mergeCell ref="D8:E8"/>
    <mergeCell ref="D9:E9"/>
    <mergeCell ref="A1:B1"/>
    <mergeCell ref="A2:B2"/>
    <mergeCell ref="D10:E10"/>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0070C0"/>
    <pageSetUpPr fitToPage="1"/>
  </sheetPr>
  <dimension ref="A1:L161"/>
  <sheetViews>
    <sheetView view="pageBreakPreview" zoomScaleNormal="85" zoomScaleSheetLayoutView="100" workbookViewId="0" topLeftCell="A128">
      <selection activeCell="D142" sqref="D142"/>
    </sheetView>
  </sheetViews>
  <sheetFormatPr defaultColWidth="8.88671875" defaultRowHeight="18.75"/>
  <cols>
    <col min="1" max="1" width="4.99609375" style="0" bestFit="1" customWidth="1"/>
    <col min="2" max="2" width="43.6640625" style="3" customWidth="1"/>
    <col min="3" max="3" width="14.10546875" style="0" customWidth="1"/>
    <col min="4" max="4" width="13.4453125" style="1" customWidth="1"/>
    <col min="5" max="5" width="5.88671875" style="1" hidden="1" customWidth="1"/>
    <col min="6" max="6" width="9.77734375" style="139" customWidth="1"/>
    <col min="7" max="7" width="17.4453125" style="1" customWidth="1"/>
    <col min="8" max="8" width="8.3359375" style="2" customWidth="1"/>
    <col min="9" max="9" width="9.88671875" style="137" customWidth="1"/>
    <col min="10" max="10" width="5.3359375" style="278" customWidth="1"/>
    <col min="11" max="11" width="7.21484375" style="160" customWidth="1"/>
    <col min="12" max="12" width="22.4453125" style="161" customWidth="1"/>
  </cols>
  <sheetData>
    <row r="1" spans="1:9" ht="18.75">
      <c r="A1" s="546" t="s">
        <v>577</v>
      </c>
      <c r="B1" s="546"/>
      <c r="C1" s="546"/>
      <c r="D1" s="546"/>
      <c r="E1" s="546"/>
      <c r="F1" s="546"/>
      <c r="G1" s="546"/>
      <c r="H1" s="546"/>
      <c r="I1" s="546"/>
    </row>
    <row r="2" spans="1:12" s="15" customFormat="1" ht="81" customHeight="1">
      <c r="A2" s="547" t="s">
        <v>586</v>
      </c>
      <c r="B2" s="547"/>
      <c r="C2" s="547"/>
      <c r="D2" s="547"/>
      <c r="E2" s="547"/>
      <c r="F2" s="547"/>
      <c r="G2" s="547"/>
      <c r="H2" s="547"/>
      <c r="I2" s="547"/>
      <c r="J2" s="279"/>
      <c r="K2" s="548" t="s">
        <v>452</v>
      </c>
      <c r="L2" s="464"/>
    </row>
    <row r="3" spans="1:12" ht="18.75">
      <c r="A3" s="549"/>
      <c r="B3" s="549"/>
      <c r="C3" s="549"/>
      <c r="D3" s="549"/>
      <c r="E3" s="549"/>
      <c r="F3" s="549"/>
      <c r="G3" s="549"/>
      <c r="H3" s="549"/>
      <c r="I3" s="549"/>
      <c r="K3" s="464"/>
      <c r="L3" s="464"/>
    </row>
    <row r="4" spans="1:12" ht="6.75" customHeight="1">
      <c r="A4" s="550"/>
      <c r="B4" s="550"/>
      <c r="C4" s="550"/>
      <c r="D4" s="550"/>
      <c r="E4" s="550"/>
      <c r="F4" s="550"/>
      <c r="G4" s="550"/>
      <c r="H4" s="550"/>
      <c r="I4" s="550"/>
      <c r="K4" s="464"/>
      <c r="L4" s="464"/>
    </row>
    <row r="5" spans="1:12" ht="18.75" customHeight="1">
      <c r="A5" s="472" t="s">
        <v>9</v>
      </c>
      <c r="B5" s="472" t="s">
        <v>0</v>
      </c>
      <c r="C5" s="551" t="s">
        <v>104</v>
      </c>
      <c r="D5" s="552"/>
      <c r="E5" s="552"/>
      <c r="F5" s="553"/>
      <c r="G5" s="476" t="s">
        <v>114</v>
      </c>
      <c r="H5" s="476"/>
      <c r="I5" s="476"/>
      <c r="K5" s="464"/>
      <c r="L5" s="464"/>
    </row>
    <row r="6" spans="1:12" ht="47.25">
      <c r="A6" s="473"/>
      <c r="B6" s="473"/>
      <c r="C6" s="140" t="s">
        <v>106</v>
      </c>
      <c r="D6" s="141" t="s">
        <v>463</v>
      </c>
      <c r="E6" s="141"/>
      <c r="F6" s="142" t="s">
        <v>105</v>
      </c>
      <c r="G6" s="142" t="s">
        <v>28</v>
      </c>
      <c r="H6" s="140" t="s">
        <v>29</v>
      </c>
      <c r="I6" s="141" t="s">
        <v>579</v>
      </c>
      <c r="K6" s="464"/>
      <c r="L6" s="464"/>
    </row>
    <row r="7" spans="1:12" s="12" customFormat="1" ht="31.5">
      <c r="A7" s="24" t="s">
        <v>1</v>
      </c>
      <c r="B7" s="293" t="s">
        <v>34</v>
      </c>
      <c r="C7" s="24"/>
      <c r="D7" s="24"/>
      <c r="E7" s="24"/>
      <c r="F7" s="24" t="s">
        <v>116</v>
      </c>
      <c r="G7" s="24"/>
      <c r="H7" s="43">
        <f>+H8+H10</f>
        <v>17.5</v>
      </c>
      <c r="I7" s="24"/>
      <c r="J7" s="280"/>
      <c r="K7" s="464"/>
      <c r="L7" s="464"/>
    </row>
    <row r="8" spans="1:12" s="50" customFormat="1" ht="95.25" customHeight="1">
      <c r="A8" s="472">
        <v>1</v>
      </c>
      <c r="B8" s="541" t="s">
        <v>35</v>
      </c>
      <c r="C8" s="543" t="s">
        <v>103</v>
      </c>
      <c r="D8" s="544"/>
      <c r="E8" s="294"/>
      <c r="F8" s="47">
        <v>5</v>
      </c>
      <c r="G8" s="504" t="s">
        <v>197</v>
      </c>
      <c r="H8" s="545">
        <v>5</v>
      </c>
      <c r="I8" s="478" t="str">
        <f>+IF(H8=F8,"Tối đa",IF(H8&gt;F9,"Trung bình",IF(H8=F9,"Tối thiểu","Không đạt")))</f>
        <v>Tối đa</v>
      </c>
      <c r="J8" s="278"/>
      <c r="K8" s="464"/>
      <c r="L8" s="464"/>
    </row>
    <row r="9" spans="1:12" s="50" customFormat="1" ht="80.25" customHeight="1">
      <c r="A9" s="473"/>
      <c r="B9" s="542"/>
      <c r="C9" s="543" t="s">
        <v>121</v>
      </c>
      <c r="D9" s="544"/>
      <c r="E9" s="294"/>
      <c r="F9" s="296">
        <v>3.75</v>
      </c>
      <c r="G9" s="504"/>
      <c r="H9" s="545"/>
      <c r="I9" s="478"/>
      <c r="J9" s="278"/>
      <c r="K9" s="464"/>
      <c r="L9" s="464"/>
    </row>
    <row r="10" spans="1:12" s="50" customFormat="1" ht="18.75">
      <c r="A10" s="24">
        <v>2</v>
      </c>
      <c r="B10" s="293" t="s">
        <v>36</v>
      </c>
      <c r="C10" s="479"/>
      <c r="D10" s="480"/>
      <c r="E10" s="297"/>
      <c r="F10" s="43"/>
      <c r="G10" s="298"/>
      <c r="H10" s="299">
        <f>SUM(H11:H24)</f>
        <v>12.5</v>
      </c>
      <c r="I10" s="24"/>
      <c r="J10" s="278"/>
      <c r="K10" s="464"/>
      <c r="L10" s="464"/>
    </row>
    <row r="11" spans="1:12" ht="18.75">
      <c r="A11" s="485" t="s">
        <v>14</v>
      </c>
      <c r="B11" s="502" t="s">
        <v>2</v>
      </c>
      <c r="C11" s="538" t="s">
        <v>115</v>
      </c>
      <c r="D11" s="539"/>
      <c r="E11" s="300" t="str">
        <f>+C11</f>
        <v>Dư</v>
      </c>
      <c r="F11" s="45">
        <v>2</v>
      </c>
      <c r="G11" s="540" t="s">
        <v>115</v>
      </c>
      <c r="H11" s="490">
        <v>2</v>
      </c>
      <c r="I11" s="478" t="str">
        <f>+IF(H11=F11,"Tối đa",IF(H11&gt;F12,"Trung bình",IF(H11=F12,"Tối thiểu","Không đạt")))</f>
        <v>Tối đa</v>
      </c>
      <c r="J11" s="481"/>
      <c r="K11" s="536" t="s">
        <v>230</v>
      </c>
      <c r="L11" s="537" t="str">
        <f>'THÔNG TIN CHUNG'!$B$10</f>
        <v>PHÒNG TÀI CHÍNH - KẾ HOẠCH</v>
      </c>
    </row>
    <row r="12" spans="1:12" ht="18.75">
      <c r="A12" s="486"/>
      <c r="B12" s="503"/>
      <c r="C12" s="538" t="s">
        <v>10</v>
      </c>
      <c r="D12" s="539"/>
      <c r="E12" s="300" t="str">
        <f>+C12</f>
        <v>Đủ</v>
      </c>
      <c r="F12" s="45">
        <v>1.5</v>
      </c>
      <c r="G12" s="540"/>
      <c r="H12" s="490"/>
      <c r="I12" s="478"/>
      <c r="J12" s="482"/>
      <c r="K12" s="536"/>
      <c r="L12" s="537"/>
    </row>
    <row r="13" spans="1:12" ht="18.75">
      <c r="A13" s="485" t="s">
        <v>13</v>
      </c>
      <c r="B13" s="496" t="s">
        <v>118</v>
      </c>
      <c r="C13" s="49" t="s">
        <v>117</v>
      </c>
      <c r="D13" s="49" t="str">
        <f>C13</f>
        <v> ≥ 0,7</v>
      </c>
      <c r="E13" s="49">
        <v>0.7</v>
      </c>
      <c r="F13" s="45">
        <v>2</v>
      </c>
      <c r="G13" s="499">
        <f>'Biểu 2 Chi tiêu KTXH'!F9/95.6</f>
        <v>0.4236401673640168</v>
      </c>
      <c r="H13" s="490">
        <f>ROUND(IF(G13&gt;E13,F13,(IF(G13&lt;D14,0,(IF(G13&lt;E14,F14,FORECAST(G13,F13:F14,E13:E14)))))),2)</f>
        <v>1.5</v>
      </c>
      <c r="I13" s="478" t="str">
        <f>+IF(H13=F13,"Tối đa",IF(H13&gt;F14,"Trung bình",IF(H13=F14,"Tối thiểu","Không đạt")))</f>
        <v>Tối thiểu</v>
      </c>
      <c r="J13" s="516"/>
      <c r="K13" s="523" t="s">
        <v>231</v>
      </c>
      <c r="L13" s="524" t="str">
        <f>'THÔNG TIN CHUNG'!B21</f>
        <v>CHI CỤC THỐNG KÊ KHU VỰC 
KON PLONG - KON RẪY</v>
      </c>
    </row>
    <row r="14" spans="1:12" ht="18.75">
      <c r="A14" s="486"/>
      <c r="B14" s="497"/>
      <c r="C14" s="301">
        <v>0.5</v>
      </c>
      <c r="D14" s="49">
        <f>+C14*0.7</f>
        <v>0.35</v>
      </c>
      <c r="E14" s="49">
        <f>+C14</f>
        <v>0.5</v>
      </c>
      <c r="F14" s="45">
        <v>1.5</v>
      </c>
      <c r="G14" s="499"/>
      <c r="H14" s="490"/>
      <c r="I14" s="478"/>
      <c r="J14" s="517"/>
      <c r="K14" s="523"/>
      <c r="L14" s="524"/>
    </row>
    <row r="15" spans="1:12" s="9" customFormat="1" ht="34.5" customHeight="1">
      <c r="A15" s="485" t="s">
        <v>24</v>
      </c>
      <c r="B15" s="496" t="s">
        <v>284</v>
      </c>
      <c r="C15" s="534" t="s">
        <v>119</v>
      </c>
      <c r="D15" s="535"/>
      <c r="E15" s="302">
        <v>4</v>
      </c>
      <c r="F15" s="45">
        <v>2</v>
      </c>
      <c r="G15" s="533">
        <f>+'Biểu 2 Chi tiêu KTXH'!F11/19.07*4.92</f>
        <v>14.189826953329838</v>
      </c>
      <c r="H15" s="490">
        <f>ROUND(IF(G15&gt;E15,F15,(IF(G15&lt;E16,0,(IF(G15&lt;E16,F16,FORECAST(G15,F15:F16,E15:E16)))))),2)</f>
        <v>2</v>
      </c>
      <c r="I15" s="478" t="str">
        <f>+IF(H15=F15,"Tối đa",IF(H15&gt;F16,"Trung bình",IF(H15=F16,"Tối thiểu","Không đạt")))</f>
        <v>Tối đa</v>
      </c>
      <c r="J15" s="481"/>
      <c r="K15" s="523"/>
      <c r="L15" s="524"/>
    </row>
    <row r="16" spans="1:12" s="9" customFormat="1" ht="18.75">
      <c r="A16" s="486"/>
      <c r="B16" s="497"/>
      <c r="C16" s="534" t="s">
        <v>120</v>
      </c>
      <c r="D16" s="535"/>
      <c r="E16" s="288">
        <v>1</v>
      </c>
      <c r="F16" s="45">
        <v>1.5</v>
      </c>
      <c r="G16" s="533"/>
      <c r="H16" s="490"/>
      <c r="I16" s="478"/>
      <c r="J16" s="482"/>
      <c r="K16" s="523"/>
      <c r="L16" s="524"/>
    </row>
    <row r="17" spans="1:12" ht="18.75">
      <c r="A17" s="485" t="s">
        <v>23</v>
      </c>
      <c r="B17" s="496" t="s">
        <v>37</v>
      </c>
      <c r="C17" s="49" t="s">
        <v>122</v>
      </c>
      <c r="D17" s="49" t="str">
        <f>C17</f>
        <v>≥ 7,0</v>
      </c>
      <c r="E17" s="49">
        <v>7</v>
      </c>
      <c r="F17" s="45">
        <v>2</v>
      </c>
      <c r="G17" s="533">
        <f>+('Biểu 2 Chi tiêu KTXH'!D10+'Biểu 2 Chi tiêu KTXH'!E10+'Biểu 2 Chi tiêu KTXH'!F10)/3</f>
        <v>15.066666666666668</v>
      </c>
      <c r="H17" s="490">
        <f>ROUND(IF(G17&gt;E17,F17,(IF(G17&lt;D18,0,(IF(G17&lt;E18,F18,FORECAST(G17,F17:F18,E17:E18)))))),2)</f>
        <v>2</v>
      </c>
      <c r="I17" s="478" t="str">
        <f>+IF(H17=F17,"Tối đa",IF(H17&gt;F18,"Trung bình",IF(H17=F18,"Tối thiểu","Không đạt")))</f>
        <v>Tối đa</v>
      </c>
      <c r="J17" s="481"/>
      <c r="K17" s="523"/>
      <c r="L17" s="524"/>
    </row>
    <row r="18" spans="1:12" ht="18.75">
      <c r="A18" s="486"/>
      <c r="B18" s="497"/>
      <c r="C18" s="303">
        <v>6</v>
      </c>
      <c r="D18" s="49">
        <f>C18*0.7</f>
        <v>4.199999999999999</v>
      </c>
      <c r="E18" s="303">
        <f>+C18</f>
        <v>6</v>
      </c>
      <c r="F18" s="45">
        <v>1</v>
      </c>
      <c r="G18" s="533"/>
      <c r="H18" s="490"/>
      <c r="I18" s="478"/>
      <c r="J18" s="482"/>
      <c r="K18" s="523"/>
      <c r="L18" s="524"/>
    </row>
    <row r="19" spans="1:12" ht="18.75">
      <c r="A19" s="485" t="s">
        <v>22</v>
      </c>
      <c r="B19" s="496" t="s">
        <v>504</v>
      </c>
      <c r="C19" s="49" t="s">
        <v>505</v>
      </c>
      <c r="D19" s="49" t="str">
        <f>C19</f>
        <v>≥ 1,25</v>
      </c>
      <c r="E19" s="49">
        <v>1.25</v>
      </c>
      <c r="F19" s="45">
        <v>2</v>
      </c>
      <c r="G19" s="533">
        <f>'Biểu 2 Chi tiêu KTXH'!F10/8.02</f>
        <v>1.9576059850374066</v>
      </c>
      <c r="H19" s="490">
        <f>ROUND(IF(G19&gt;E19,F19,(IF(G19&lt;D20,0,(IF(G19&lt;E20,F20,FORECAST(G19,F19:F20,E19:E20)))))),2)</f>
        <v>2</v>
      </c>
      <c r="I19" s="478" t="str">
        <f>+IF(H19=F19,"Tối đa",IF(H19&gt;F20,"Trung bình",IF(H19=F20,"Tối thiểu","Không đạt")))</f>
        <v>Tối đa</v>
      </c>
      <c r="J19" s="228"/>
      <c r="K19" s="377"/>
      <c r="L19" s="378"/>
    </row>
    <row r="20" spans="1:12" ht="18.75">
      <c r="A20" s="486"/>
      <c r="B20" s="497"/>
      <c r="C20" s="303">
        <v>1</v>
      </c>
      <c r="D20" s="49">
        <f>C20*0.7</f>
        <v>0.7</v>
      </c>
      <c r="E20" s="303">
        <f>+C20</f>
        <v>1</v>
      </c>
      <c r="F20" s="45">
        <v>1.5</v>
      </c>
      <c r="G20" s="533"/>
      <c r="H20" s="490"/>
      <c r="I20" s="478"/>
      <c r="J20" s="228"/>
      <c r="K20" s="377"/>
      <c r="L20" s="378"/>
    </row>
    <row r="21" spans="1:12" s="23" customFormat="1" ht="18.75">
      <c r="A21" s="485" t="s">
        <v>21</v>
      </c>
      <c r="B21" s="502" t="s">
        <v>123</v>
      </c>
      <c r="C21" s="49" t="s">
        <v>124</v>
      </c>
      <c r="D21" s="49" t="str">
        <f>+C21</f>
        <v>≤ 5,0</v>
      </c>
      <c r="E21" s="49">
        <v>5</v>
      </c>
      <c r="F21" s="45">
        <v>2</v>
      </c>
      <c r="G21" s="533">
        <f>'Biểu 3 Hộ nghèo'!E18</f>
        <v>4.250386398763524</v>
      </c>
      <c r="H21" s="490">
        <v>2</v>
      </c>
      <c r="I21" s="478" t="str">
        <f>+IF(H21=F21,"Tối đa",IF(H21&gt;F22,"Trung bình",IF(H21=F22,"Tối thiểu","Không đạt")))</f>
        <v>Tối đa</v>
      </c>
      <c r="J21" s="481"/>
      <c r="K21" s="531" t="s">
        <v>232</v>
      </c>
      <c r="L21" s="532" t="str">
        <f>'THÔNG TIN CHUNG'!$B$14</f>
        <v>PHÒNG LAO ĐỘNG - THƯƠNG BINH &amp; XÃ HỘI</v>
      </c>
    </row>
    <row r="22" spans="1:12" s="23" customFormat="1" ht="18.75">
      <c r="A22" s="486"/>
      <c r="B22" s="503"/>
      <c r="C22" s="303">
        <v>6</v>
      </c>
      <c r="D22" s="304">
        <f>+C22/0.7</f>
        <v>8.571428571428571</v>
      </c>
      <c r="E22" s="304">
        <f>+C22</f>
        <v>6</v>
      </c>
      <c r="F22" s="45">
        <v>1</v>
      </c>
      <c r="G22" s="533"/>
      <c r="H22" s="490"/>
      <c r="I22" s="478"/>
      <c r="J22" s="482"/>
      <c r="K22" s="531"/>
      <c r="L22" s="532"/>
    </row>
    <row r="23" spans="1:12" ht="18.75">
      <c r="A23" s="485" t="s">
        <v>250</v>
      </c>
      <c r="B23" s="496" t="s">
        <v>125</v>
      </c>
      <c r="C23" s="49" t="s">
        <v>126</v>
      </c>
      <c r="D23" s="49" t="str">
        <f>+C23</f>
        <v>≥ 1,2</v>
      </c>
      <c r="E23" s="49">
        <v>1.2</v>
      </c>
      <c r="F23" s="45">
        <v>1</v>
      </c>
      <c r="G23" s="499">
        <f>'Biểu 2 Chi tiêu KTXH'!F13/10</f>
        <v>2.1</v>
      </c>
      <c r="H23" s="490">
        <f>ROUND(IF(G23&gt;E23,F23,(IF(G23&lt;D24,0,(IF(G23&lt;E24,F24,FORECAST(G23,F23:F24,E23:E24)))))),2)</f>
        <v>1</v>
      </c>
      <c r="I23" s="478" t="str">
        <f>+IF(H23=F23,"Tối đa",IF(H23&gt;F24,"Trung bình",IF(H23=F24,"Tối thiểu","Không đạt")))</f>
        <v>Tối đa</v>
      </c>
      <c r="J23" s="481"/>
      <c r="K23" s="523" t="str">
        <f>+$K$13</f>
        <v>Biểu 2</v>
      </c>
      <c r="L23" s="524" t="str">
        <f>+$L$13</f>
        <v>CHI CỤC THỐNG KÊ KHU VỰC 
KON PLONG - KON RẪY</v>
      </c>
    </row>
    <row r="24" spans="1:12" ht="18.75">
      <c r="A24" s="486"/>
      <c r="B24" s="497"/>
      <c r="C24" s="49">
        <v>0.8</v>
      </c>
      <c r="D24" s="49">
        <f>+C24*0.7</f>
        <v>0.5599999999999999</v>
      </c>
      <c r="E24" s="49">
        <f>+C24</f>
        <v>0.8</v>
      </c>
      <c r="F24" s="54">
        <v>0.75</v>
      </c>
      <c r="G24" s="499"/>
      <c r="H24" s="490"/>
      <c r="I24" s="478"/>
      <c r="J24" s="482"/>
      <c r="K24" s="523"/>
      <c r="L24" s="524"/>
    </row>
    <row r="25" spans="1:12" s="14" customFormat="1" ht="18.75">
      <c r="A25" s="24" t="s">
        <v>3</v>
      </c>
      <c r="B25" s="25" t="s">
        <v>38</v>
      </c>
      <c r="C25" s="24"/>
      <c r="D25" s="305"/>
      <c r="E25" s="305"/>
      <c r="F25" s="43" t="s">
        <v>41</v>
      </c>
      <c r="G25" s="326"/>
      <c r="H25" s="299">
        <f>H26</f>
        <v>6.21</v>
      </c>
      <c r="I25" s="24"/>
      <c r="J25" s="110"/>
      <c r="K25" s="167"/>
      <c r="L25" s="168"/>
    </row>
    <row r="26" spans="1:12" ht="25.5">
      <c r="A26" s="7">
        <v>1</v>
      </c>
      <c r="B26" s="364" t="s">
        <v>229</v>
      </c>
      <c r="C26" s="49" t="s">
        <v>166</v>
      </c>
      <c r="D26" s="49" t="s">
        <v>166</v>
      </c>
      <c r="E26" s="49">
        <v>20</v>
      </c>
      <c r="F26" s="46">
        <v>8</v>
      </c>
      <c r="G26" s="529">
        <f>'Biểu 2 Chi tiêu KTXH'!F12/1000+'Biểu 4 Dân số tạm trú'!F13/1000</f>
        <v>5.6899999999999995</v>
      </c>
      <c r="H26" s="490">
        <f>ROUND(IF(G26&gt;E26,F26,(IF(G26&lt;D27,0,(IF(G26&lt;E27,F27,FORECAST(G26,F26:F27,E26:E27)))))),2)</f>
        <v>6.21</v>
      </c>
      <c r="I26" s="368" t="str">
        <f>+IF(H26=F26,"Tối đa",IF(H26&gt;F27,"Trung bình",IF(H26=F27,"Tối thiểu","Không đạt")))</f>
        <v>Trung bình</v>
      </c>
      <c r="J26" s="481"/>
      <c r="K26" s="162" t="s">
        <v>231</v>
      </c>
      <c r="L26" s="378" t="str">
        <f>+L23</f>
        <v>CHI CỤC THỐNG KÊ KHU VỰC 
KON PLONG - KON RẪY</v>
      </c>
    </row>
    <row r="27" spans="1:12" ht="18.75">
      <c r="A27" s="358" t="s">
        <v>39</v>
      </c>
      <c r="B27" s="359" t="s">
        <v>614</v>
      </c>
      <c r="C27" s="49">
        <v>4</v>
      </c>
      <c r="D27" s="49">
        <f>+C27*0.6</f>
        <v>2.4</v>
      </c>
      <c r="E27" s="276">
        <v>4</v>
      </c>
      <c r="F27" s="46">
        <v>6</v>
      </c>
      <c r="G27" s="529"/>
      <c r="H27" s="490"/>
      <c r="I27" s="368" t="str">
        <f>+IF(H26=F26,"Tối đa",IF(H26&gt;F27,"Trung bình",IF(H26=F27,"Tối thiểu","Không đạt")))</f>
        <v>Trung bình</v>
      </c>
      <c r="J27" s="482"/>
      <c r="K27" s="162" t="s">
        <v>432</v>
      </c>
      <c r="L27" s="163" t="str">
        <f>'THÔNG TIN CHUNG'!$B$20</f>
        <v>CÔNG AN HUYỆN KON RẪY</v>
      </c>
    </row>
    <row r="28" spans="1:12" s="14" customFormat="1" ht="18.75">
      <c r="A28" s="24" t="s">
        <v>4</v>
      </c>
      <c r="B28" s="25" t="s">
        <v>5</v>
      </c>
      <c r="C28" s="24"/>
      <c r="D28" s="305"/>
      <c r="E28" s="305"/>
      <c r="F28" s="43" t="s">
        <v>41</v>
      </c>
      <c r="G28" s="326"/>
      <c r="H28" s="299">
        <f>H29+H31</f>
        <v>6.5</v>
      </c>
      <c r="I28" s="24"/>
      <c r="J28" s="110"/>
      <c r="K28" s="167"/>
      <c r="L28" s="168"/>
    </row>
    <row r="29" spans="1:12" ht="18.75">
      <c r="A29" s="485">
        <v>1</v>
      </c>
      <c r="B29" s="502" t="s">
        <v>107</v>
      </c>
      <c r="C29" s="49" t="s">
        <v>128</v>
      </c>
      <c r="D29" s="49" t="s">
        <v>128</v>
      </c>
      <c r="E29" s="49">
        <v>1200</v>
      </c>
      <c r="F29" s="47">
        <v>2</v>
      </c>
      <c r="G29" s="530">
        <f>+G26*1000/(('Biểu 6 Cơ cấu SDD'!C8-'Biểu 6 Cơ cấu SDD'!C28)*0.01)</f>
        <v>1244.722507820532</v>
      </c>
      <c r="H29" s="490">
        <f>ROUND(IF(G29&gt;E29,F29,(IF(G29&lt;D30,0,(IF(G29&lt;E30,F30,FORECAST(G29,F29:F30,E29:E30)))))),2)</f>
        <v>2</v>
      </c>
      <c r="I29" s="478" t="str">
        <f>+IF(H29=F29,"Tối đa",IF(H29&gt;F30,"Trung bình",IF(H29=F30,"Tối thiểu","Không đạt")))</f>
        <v>Tối đa</v>
      </c>
      <c r="J29" s="527"/>
      <c r="K29" s="525"/>
      <c r="L29" s="526"/>
    </row>
    <row r="30" spans="1:12" ht="18.75">
      <c r="A30" s="486"/>
      <c r="B30" s="503"/>
      <c r="C30" s="49">
        <v>1000</v>
      </c>
      <c r="D30" s="49">
        <f>+C30*0.5</f>
        <v>500</v>
      </c>
      <c r="E30" s="49">
        <v>500</v>
      </c>
      <c r="F30" s="46">
        <v>1.5</v>
      </c>
      <c r="G30" s="530"/>
      <c r="H30" s="490"/>
      <c r="I30" s="478"/>
      <c r="J30" s="528"/>
      <c r="K30" s="525"/>
      <c r="L30" s="526"/>
    </row>
    <row r="31" spans="1:12" ht="18.75">
      <c r="A31" s="485" t="s">
        <v>39</v>
      </c>
      <c r="B31" s="487" t="s">
        <v>234</v>
      </c>
      <c r="C31" s="49" t="s">
        <v>129</v>
      </c>
      <c r="D31" s="49" t="str">
        <f>+C31</f>
        <v>≥ 4000</v>
      </c>
      <c r="E31" s="49">
        <v>4000</v>
      </c>
      <c r="F31" s="47">
        <v>6</v>
      </c>
      <c r="G31" s="522">
        <f>+G26*1000/('Biểu 6 Cơ cấu SDD'!C9*0.01)</f>
        <v>2970.930308449398</v>
      </c>
      <c r="H31" s="490">
        <f>ROUND(IF(G31&gt;E31,F31,(IF(G31&lt;D32,0,(IF(G31&lt;E32,F32,FORECAST(G31,F31:F32,E31:E32)))))),2)</f>
        <v>4.5</v>
      </c>
      <c r="I31" s="478" t="str">
        <f>+IF(H31=F31,"Tối đa",IF(H31&gt;F32,"Trung bình",IF(H31=F32,"Tối thiểu","Không đạt")))</f>
        <v>Tối thiểu</v>
      </c>
      <c r="J31" s="527"/>
      <c r="K31" s="525"/>
      <c r="L31" s="526"/>
    </row>
    <row r="32" spans="1:12" ht="18.75">
      <c r="A32" s="486"/>
      <c r="B32" s="488"/>
      <c r="C32" s="49">
        <v>3000</v>
      </c>
      <c r="D32" s="49">
        <f>+C32*0.7</f>
        <v>2100</v>
      </c>
      <c r="E32" s="49">
        <v>3000</v>
      </c>
      <c r="F32" s="46">
        <v>4.5</v>
      </c>
      <c r="G32" s="522"/>
      <c r="H32" s="490"/>
      <c r="I32" s="478"/>
      <c r="J32" s="528"/>
      <c r="K32" s="525"/>
      <c r="L32" s="526"/>
    </row>
    <row r="33" spans="1:12" s="14" customFormat="1" ht="18.75">
      <c r="A33" s="24" t="s">
        <v>6</v>
      </c>
      <c r="B33" s="25" t="s">
        <v>7</v>
      </c>
      <c r="C33" s="24"/>
      <c r="D33" s="305"/>
      <c r="E33" s="305"/>
      <c r="F33" s="43" t="s">
        <v>40</v>
      </c>
      <c r="G33" s="326"/>
      <c r="H33" s="299">
        <f>SUM(H34)</f>
        <v>4.5</v>
      </c>
      <c r="I33" s="24"/>
      <c r="J33" s="110"/>
      <c r="K33" s="167"/>
      <c r="L33" s="168"/>
    </row>
    <row r="34" spans="1:12" s="4" customFormat="1" ht="18.75">
      <c r="A34" s="7">
        <v>1</v>
      </c>
      <c r="B34" s="365" t="s">
        <v>615</v>
      </c>
      <c r="C34" s="49">
        <v>65</v>
      </c>
      <c r="D34" s="49">
        <f>C34</f>
        <v>65</v>
      </c>
      <c r="E34" s="49">
        <f>+C34</f>
        <v>65</v>
      </c>
      <c r="F34" s="47">
        <v>6</v>
      </c>
      <c r="G34" s="522">
        <f>+'Biểu 2 Chi tiêu KTXH'!F16</f>
        <v>39</v>
      </c>
      <c r="H34" s="490">
        <f>ROUND(IF(G34&gt;E34,F34,(IF(G34&lt;D35,0,(IF(G34&lt;E35,F35,FORECAST(G34,F34:F35,E34:E35)))))),2)</f>
        <v>4.5</v>
      </c>
      <c r="I34" s="285" t="str">
        <f>+IF(H34=F34,"Tối đa",IF(H34&gt;F35,"Trung bình",IF(H34=F35,"Tối thiểu","Không đạt")))</f>
        <v>Tối thiểu</v>
      </c>
      <c r="J34" s="481"/>
      <c r="K34" s="523" t="str">
        <f>+$K$13</f>
        <v>Biểu 2</v>
      </c>
      <c r="L34" s="524" t="str">
        <f>+$L$13</f>
        <v>CHI CỤC THỐNG KÊ KHU VỰC 
KON PLONG - KON RẪY</v>
      </c>
    </row>
    <row r="35" spans="1:12" s="4" customFormat="1" ht="18.75">
      <c r="A35" s="7" t="s">
        <v>39</v>
      </c>
      <c r="B35" s="37" t="s">
        <v>616</v>
      </c>
      <c r="C35" s="49">
        <v>55</v>
      </c>
      <c r="D35" s="49">
        <f>C35*0.7</f>
        <v>38.5</v>
      </c>
      <c r="E35" s="49">
        <f>+C35</f>
        <v>55</v>
      </c>
      <c r="F35" s="47">
        <v>4.5</v>
      </c>
      <c r="G35" s="522"/>
      <c r="H35" s="490"/>
      <c r="I35" s="285" t="str">
        <f>+IF(H34=F34,"Tối đa",IF(H34&gt;F35,"Trung bình",IF(H34=F35,"Tối thiểu","Không đạt")))</f>
        <v>Tối thiểu</v>
      </c>
      <c r="J35" s="482"/>
      <c r="K35" s="523"/>
      <c r="L35" s="524"/>
    </row>
    <row r="36" spans="1:12" s="4" customFormat="1" ht="31.5">
      <c r="A36" s="24" t="s">
        <v>8</v>
      </c>
      <c r="B36" s="293" t="s">
        <v>198</v>
      </c>
      <c r="C36" s="293"/>
      <c r="D36" s="293"/>
      <c r="E36" s="293"/>
      <c r="F36" s="43" t="s">
        <v>42</v>
      </c>
      <c r="G36" s="327"/>
      <c r="H36" s="320">
        <f>H37+H133</f>
        <v>49</v>
      </c>
      <c r="I36" s="293"/>
      <c r="J36" s="157"/>
      <c r="K36" s="70"/>
      <c r="L36" s="72"/>
    </row>
    <row r="37" spans="1:12" ht="31.5">
      <c r="A37" s="24" t="s">
        <v>112</v>
      </c>
      <c r="B37" s="293" t="s">
        <v>130</v>
      </c>
      <c r="C37" s="24"/>
      <c r="D37" s="306"/>
      <c r="E37" s="306"/>
      <c r="F37" s="43"/>
      <c r="G37" s="325"/>
      <c r="H37" s="299">
        <f>H38+H61+H92+H118</f>
        <v>39</v>
      </c>
      <c r="I37" s="24"/>
      <c r="J37" s="110"/>
      <c r="K37" s="70"/>
      <c r="L37" s="72"/>
    </row>
    <row r="38" spans="1:12" s="13" customFormat="1" ht="18.75">
      <c r="A38" s="24" t="s">
        <v>32</v>
      </c>
      <c r="B38" s="305" t="s">
        <v>43</v>
      </c>
      <c r="C38" s="24"/>
      <c r="D38" s="306"/>
      <c r="E38" s="306"/>
      <c r="F38" s="43" t="s">
        <v>576</v>
      </c>
      <c r="G38" s="325"/>
      <c r="H38" s="299">
        <f>H39+H44</f>
        <v>8.31</v>
      </c>
      <c r="I38" s="24"/>
      <c r="J38" s="110"/>
      <c r="K38" s="73"/>
      <c r="L38" s="155"/>
    </row>
    <row r="39" spans="1:12" ht="18.75">
      <c r="A39" s="24" t="s">
        <v>15</v>
      </c>
      <c r="B39" s="25" t="s">
        <v>44</v>
      </c>
      <c r="C39" s="24"/>
      <c r="D39" s="306"/>
      <c r="E39" s="306"/>
      <c r="F39" s="43" t="s">
        <v>78</v>
      </c>
      <c r="G39" s="325"/>
      <c r="H39" s="299">
        <f>SUM(H40:H43)</f>
        <v>1.56</v>
      </c>
      <c r="I39" s="24"/>
      <c r="J39" s="158"/>
      <c r="K39" s="70"/>
      <c r="L39" s="72"/>
    </row>
    <row r="40" spans="1:12" ht="18.75">
      <c r="A40" s="485" t="s">
        <v>45</v>
      </c>
      <c r="B40" s="496" t="s">
        <v>131</v>
      </c>
      <c r="C40" s="49" t="s">
        <v>132</v>
      </c>
      <c r="D40" s="49" t="str">
        <f>+C40</f>
        <v>≥28</v>
      </c>
      <c r="E40" s="49">
        <v>28</v>
      </c>
      <c r="F40" s="47">
        <v>1</v>
      </c>
      <c r="G40" s="499">
        <f>'Biểu 5 Nhà ở'!F16/'Biểu 2 Chi tiêu KTXH'!F12</f>
        <v>18.402103709171435</v>
      </c>
      <c r="H40" s="490">
        <f>ROUND(IF(G40&gt;E40,F40,(IF(G40&lt;D41,0,(IF(G40&lt;E41,F41,FORECAST(G40,F40:F41,E40:E41)))))),2)</f>
        <v>0.75</v>
      </c>
      <c r="I40" s="478" t="str">
        <f>+IF(H40=F40,"Tối đa",IF(H40&gt;F41,"Trung bình",IF(H40=F41,"Tối thiểu","Không đạt")))</f>
        <v>Tối thiểu</v>
      </c>
      <c r="J40" s="481"/>
      <c r="K40" s="509" t="s">
        <v>236</v>
      </c>
      <c r="L40" s="520" t="str">
        <f>'THÔNG TIN CHUNG'!$B$25</f>
        <v>UBND XÃ ĐĂK RUỒNG</v>
      </c>
    </row>
    <row r="41" spans="1:12" ht="18.75">
      <c r="A41" s="486"/>
      <c r="B41" s="497"/>
      <c r="C41" s="49">
        <v>26</v>
      </c>
      <c r="D41" s="49">
        <f>+C41*0.7</f>
        <v>18.2</v>
      </c>
      <c r="E41" s="49">
        <f>+C41</f>
        <v>26</v>
      </c>
      <c r="F41" s="46">
        <v>0.75</v>
      </c>
      <c r="G41" s="499"/>
      <c r="H41" s="490"/>
      <c r="I41" s="478"/>
      <c r="J41" s="482"/>
      <c r="K41" s="509"/>
      <c r="L41" s="521"/>
    </row>
    <row r="42" spans="1:12" ht="18.75">
      <c r="A42" s="485" t="s">
        <v>46</v>
      </c>
      <c r="B42" s="496" t="s">
        <v>133</v>
      </c>
      <c r="C42" s="49" t="s">
        <v>134</v>
      </c>
      <c r="D42" s="49" t="str">
        <f>+C42</f>
        <v>≥90</v>
      </c>
      <c r="E42" s="49">
        <v>90</v>
      </c>
      <c r="F42" s="47">
        <v>1</v>
      </c>
      <c r="G42" s="499">
        <f>'Biểu 5 Nhà ở'!E16</f>
        <v>86.21460506706408</v>
      </c>
      <c r="H42" s="490">
        <f>ROUND(IF(G42&gt;E42,F42,(IF(G42&lt;D43,0,(IF(G42&lt;E43,F43,FORECAST(G42,F42:F43,E42:E43)))))),2)</f>
        <v>0.81</v>
      </c>
      <c r="I42" s="478" t="str">
        <f>+IF(H42=F42,"Tối đa",IF(H42&gt;F43,"Trung bình",IF(H42=F43,"Tối thiểu","Không đạt")))</f>
        <v>Trung bình</v>
      </c>
      <c r="J42" s="481"/>
      <c r="K42" s="509"/>
      <c r="L42" s="520" t="str">
        <f>'THÔNG TIN CHUNG'!$B$26</f>
        <v>UBND XÃ TÂN LẬP</v>
      </c>
    </row>
    <row r="43" spans="1:12" ht="18.75">
      <c r="A43" s="486"/>
      <c r="B43" s="497"/>
      <c r="C43" s="49">
        <v>85</v>
      </c>
      <c r="D43" s="49">
        <f>+C43*0.7</f>
        <v>59.49999999999999</v>
      </c>
      <c r="E43" s="49">
        <f>+C43</f>
        <v>85</v>
      </c>
      <c r="F43" s="46">
        <v>0.75</v>
      </c>
      <c r="G43" s="499"/>
      <c r="H43" s="490"/>
      <c r="I43" s="478"/>
      <c r="J43" s="482"/>
      <c r="K43" s="509"/>
      <c r="L43" s="521"/>
    </row>
    <row r="44" spans="1:12" ht="18.75">
      <c r="A44" s="24" t="s">
        <v>25</v>
      </c>
      <c r="B44" s="25" t="s">
        <v>47</v>
      </c>
      <c r="C44" s="24"/>
      <c r="D44" s="306"/>
      <c r="E44" s="306"/>
      <c r="F44" s="43" t="s">
        <v>41</v>
      </c>
      <c r="G44" s="325"/>
      <c r="H44" s="299">
        <f>SUM(H45:H60)</f>
        <v>6.75</v>
      </c>
      <c r="I44" s="24"/>
      <c r="J44" s="158"/>
      <c r="K44" s="70"/>
      <c r="L44" s="72"/>
    </row>
    <row r="45" spans="1:12" ht="18.75">
      <c r="A45" s="485" t="s">
        <v>48</v>
      </c>
      <c r="B45" s="502" t="s">
        <v>135</v>
      </c>
      <c r="C45" s="49">
        <v>100</v>
      </c>
      <c r="D45" s="49">
        <f>+C45</f>
        <v>100</v>
      </c>
      <c r="E45" s="49">
        <f>+C45</f>
        <v>100</v>
      </c>
      <c r="F45" s="47">
        <v>1</v>
      </c>
      <c r="G45" s="515">
        <f>'Biểu 6 Cơ cấu SDD'!C10*10000/('Biểu 2 Chi tiêu KTXH'!F12)</f>
        <v>270.5665251891493</v>
      </c>
      <c r="H45" s="490">
        <f>ROUND(IF(G45&gt;E45,F45,(IF(G45&lt;D46,0,(IF(G45&lt;E46,F46,FORECAST(G45,F45:F46,E45:E46)))))),2)</f>
        <v>1</v>
      </c>
      <c r="I45" s="478" t="str">
        <f aca="true" t="shared" si="0" ref="I45:I59">+IF(H45=F45,"Tối đa",IF(H45&gt;F46,"Trung bình",IF(H45=F46,"Tối thiểu","Không đạt")))</f>
        <v>Tối đa</v>
      </c>
      <c r="J45" s="481"/>
      <c r="K45" s="518" t="s">
        <v>238</v>
      </c>
      <c r="L45" s="519" t="str">
        <f>'THÔNG TIN CHUNG'!B24</f>
        <v>PHÒNG TÀI NGUYÊN - MÔI TRƯỜNG</v>
      </c>
    </row>
    <row r="46" spans="1:12" ht="18.75">
      <c r="A46" s="486"/>
      <c r="B46" s="503"/>
      <c r="C46" s="49">
        <v>70</v>
      </c>
      <c r="D46" s="49">
        <f>C46*0.7</f>
        <v>49</v>
      </c>
      <c r="E46" s="49">
        <f>+C46</f>
        <v>70</v>
      </c>
      <c r="F46" s="46">
        <v>0.75</v>
      </c>
      <c r="G46" s="515"/>
      <c r="H46" s="490"/>
      <c r="I46" s="478"/>
      <c r="J46" s="482"/>
      <c r="K46" s="518"/>
      <c r="L46" s="519"/>
    </row>
    <row r="47" spans="1:12" s="22" customFormat="1" ht="18.75">
      <c r="A47" s="485" t="s">
        <v>49</v>
      </c>
      <c r="B47" s="496" t="s">
        <v>136</v>
      </c>
      <c r="C47" s="49" t="s">
        <v>137</v>
      </c>
      <c r="D47" s="49" t="str">
        <f>+C47</f>
        <v>≥3,5</v>
      </c>
      <c r="E47" s="49">
        <v>3.5</v>
      </c>
      <c r="F47" s="47">
        <v>1</v>
      </c>
      <c r="G47" s="515">
        <f>'Biểu 6 Cơ cấu SDD'!C14*10000/('Biểu 2 Chi tiêu KTXH'!F12)</f>
        <v>17.16183797748662</v>
      </c>
      <c r="H47" s="490">
        <f>ROUND(IF(G47&gt;E47,F47,(IF(G47&lt;D48,0,(IF(G47&lt;E48,F48,FORECAST(G47,F47:F48,E47:E48)))))),2)</f>
        <v>1</v>
      </c>
      <c r="I47" s="478" t="str">
        <f t="shared" si="0"/>
        <v>Tối đa</v>
      </c>
      <c r="J47" s="481"/>
      <c r="K47" s="518"/>
      <c r="L47" s="519"/>
    </row>
    <row r="48" spans="1:12" s="22" customFormat="1" ht="18.75">
      <c r="A48" s="486"/>
      <c r="B48" s="497"/>
      <c r="C48" s="49">
        <v>3</v>
      </c>
      <c r="D48" s="49">
        <f>+C48*0.7</f>
        <v>2.0999999999999996</v>
      </c>
      <c r="E48" s="49">
        <f>+C48</f>
        <v>3</v>
      </c>
      <c r="F48" s="46">
        <v>0.75</v>
      </c>
      <c r="G48" s="515"/>
      <c r="H48" s="490"/>
      <c r="I48" s="478"/>
      <c r="J48" s="482"/>
      <c r="K48" s="518"/>
      <c r="L48" s="519"/>
    </row>
    <row r="49" spans="1:12" ht="18.75">
      <c r="A49" s="485" t="s">
        <v>50</v>
      </c>
      <c r="B49" s="496" t="s">
        <v>108</v>
      </c>
      <c r="C49" s="49" t="s">
        <v>138</v>
      </c>
      <c r="D49" s="49" t="str">
        <f>+C49</f>
        <v> ≥1,5</v>
      </c>
      <c r="E49" s="49">
        <v>1.5</v>
      </c>
      <c r="F49" s="47">
        <v>1</v>
      </c>
      <c r="G49" s="515">
        <f>'Biểu 6 Cơ cấu SDD'!C13*10000/('Biểu 2 Chi tiêu KTXH'!F12)</f>
        <v>6.274220335855324</v>
      </c>
      <c r="H49" s="490">
        <f>ROUND(IF(G49&gt;E49,F49,(IF(G49&lt;D50,0,(IF(G49&lt;E50,F50,FORECAST(G49,F49:F50,E49:E50)))))),2)</f>
        <v>1</v>
      </c>
      <c r="I49" s="478" t="str">
        <f t="shared" si="0"/>
        <v>Tối đa</v>
      </c>
      <c r="J49" s="481"/>
      <c r="K49" s="518"/>
      <c r="L49" s="519"/>
    </row>
    <row r="50" spans="1:12" ht="18.75">
      <c r="A50" s="486"/>
      <c r="B50" s="497"/>
      <c r="C50" s="49">
        <v>1</v>
      </c>
      <c r="D50" s="49">
        <f>+C50*0.7</f>
        <v>0.7</v>
      </c>
      <c r="E50" s="49">
        <f>+C50</f>
        <v>1</v>
      </c>
      <c r="F50" s="46">
        <v>0.75</v>
      </c>
      <c r="G50" s="515"/>
      <c r="H50" s="490"/>
      <c r="I50" s="478"/>
      <c r="J50" s="482"/>
      <c r="K50" s="518"/>
      <c r="L50" s="519"/>
    </row>
    <row r="51" spans="1:12" s="22" customFormat="1" ht="18.75">
      <c r="A51" s="485" t="s">
        <v>51</v>
      </c>
      <c r="B51" s="496" t="s">
        <v>506</v>
      </c>
      <c r="C51" s="49" t="s">
        <v>139</v>
      </c>
      <c r="D51" s="49" t="str">
        <f>+C51</f>
        <v>≥30</v>
      </c>
      <c r="E51" s="49">
        <v>30</v>
      </c>
      <c r="F51" s="47">
        <v>1</v>
      </c>
      <c r="G51" s="515">
        <f>'Biểu 7 Cơ sở y tế'!C8/(G26/10)</f>
        <v>149.38488576449913</v>
      </c>
      <c r="H51" s="490">
        <f>ROUND(IF(G51&gt;E51,F51,(IF(G51&lt;D52,0,(IF(G51&lt;E52,F52,FORECAST(G51,F51:F52,E51:E52)))))),2)</f>
        <v>1</v>
      </c>
      <c r="I51" s="478" t="str">
        <f t="shared" si="0"/>
        <v>Tối đa</v>
      </c>
      <c r="J51" s="516"/>
      <c r="K51" s="491" t="s">
        <v>239</v>
      </c>
      <c r="L51" s="501" t="str">
        <f>'THÔNG TIN CHUNG'!$B$22</f>
        <v>PHÒNG Y TẾ</v>
      </c>
    </row>
    <row r="52" spans="1:12" s="22" customFormat="1" ht="18.75">
      <c r="A52" s="486"/>
      <c r="B52" s="497"/>
      <c r="C52" s="49">
        <v>25</v>
      </c>
      <c r="D52" s="49">
        <f>+C52*0.7</f>
        <v>17.5</v>
      </c>
      <c r="E52" s="49">
        <f>+C52</f>
        <v>25</v>
      </c>
      <c r="F52" s="46">
        <v>0.75</v>
      </c>
      <c r="G52" s="515"/>
      <c r="H52" s="490"/>
      <c r="I52" s="478"/>
      <c r="J52" s="517"/>
      <c r="K52" s="491"/>
      <c r="L52" s="501"/>
    </row>
    <row r="53" spans="1:12" s="9" customFormat="1" ht="18.75">
      <c r="A53" s="485" t="s">
        <v>56</v>
      </c>
      <c r="B53" s="496" t="s">
        <v>52</v>
      </c>
      <c r="C53" s="49" t="s">
        <v>140</v>
      </c>
      <c r="D53" s="49" t="str">
        <f>+C53</f>
        <v>≥2</v>
      </c>
      <c r="E53" s="49">
        <v>2</v>
      </c>
      <c r="F53" s="47">
        <v>1</v>
      </c>
      <c r="G53" s="499">
        <f>'Biểu 8 Cơ sở giáo dục'!D14+'Biểu 8 Cơ sở giáo dục'!D16</f>
        <v>2</v>
      </c>
      <c r="H53" s="490">
        <f>ROUND(IF(G53&gt;E53,F53,(IF(G53&lt;D54,0,(IF(G53&lt;E54,F54,FORECAST(G53,F53:F54,E53:E54)))))),2)</f>
        <v>1</v>
      </c>
      <c r="I53" s="478" t="str">
        <f t="shared" si="0"/>
        <v>Tối đa</v>
      </c>
      <c r="J53" s="481"/>
      <c r="K53" s="491" t="s">
        <v>240</v>
      </c>
      <c r="L53" s="501" t="str">
        <f>'THÔNG TIN CHUNG'!B15</f>
        <v>PHÒNG GIÁO DỤC &amp; ĐÀO TẠO</v>
      </c>
    </row>
    <row r="54" spans="1:12" s="9" customFormat="1" ht="18.75">
      <c r="A54" s="486"/>
      <c r="B54" s="497"/>
      <c r="C54" s="49">
        <v>1</v>
      </c>
      <c r="D54" s="49">
        <v>1</v>
      </c>
      <c r="E54" s="49">
        <f>+C54</f>
        <v>1</v>
      </c>
      <c r="F54" s="46">
        <v>0.75</v>
      </c>
      <c r="G54" s="499"/>
      <c r="H54" s="490"/>
      <c r="I54" s="478"/>
      <c r="J54" s="482"/>
      <c r="K54" s="491"/>
      <c r="L54" s="501"/>
    </row>
    <row r="55" spans="1:12" s="22" customFormat="1" ht="18.75">
      <c r="A55" s="485" t="s">
        <v>57</v>
      </c>
      <c r="B55" s="496" t="s">
        <v>53</v>
      </c>
      <c r="C55" s="49" t="s">
        <v>140</v>
      </c>
      <c r="D55" s="49" t="str">
        <f>+C55</f>
        <v>≥2</v>
      </c>
      <c r="E55" s="49">
        <v>2</v>
      </c>
      <c r="F55" s="47">
        <v>1</v>
      </c>
      <c r="G55" s="499">
        <f>'Biểu 9 Ctrinh văn hóa'!D8</f>
        <v>3</v>
      </c>
      <c r="H55" s="490">
        <f>ROUND(IF(G55&gt;E55,F55,(IF(G55&lt;D56,0,(IF(G55&lt;E56,F56,FORECAST(G55,F55:F56,E55:E56)))))),2)</f>
        <v>1</v>
      </c>
      <c r="I55" s="478" t="str">
        <f t="shared" si="0"/>
        <v>Tối đa</v>
      </c>
      <c r="J55" s="481"/>
      <c r="K55" s="491" t="s">
        <v>241</v>
      </c>
      <c r="L55" s="501" t="str">
        <f>'THÔNG TIN CHUNG'!B16</f>
        <v>PHÒNG VĂN HÓA - THÔNG TIN</v>
      </c>
    </row>
    <row r="56" spans="1:12" s="22" customFormat="1" ht="18.75">
      <c r="A56" s="486"/>
      <c r="B56" s="497"/>
      <c r="C56" s="49">
        <v>1</v>
      </c>
      <c r="D56" s="49">
        <v>1</v>
      </c>
      <c r="E56" s="49">
        <f>+C56</f>
        <v>1</v>
      </c>
      <c r="F56" s="46">
        <v>0.75</v>
      </c>
      <c r="G56" s="499"/>
      <c r="H56" s="490"/>
      <c r="I56" s="478"/>
      <c r="J56" s="482"/>
      <c r="K56" s="491"/>
      <c r="L56" s="501"/>
    </row>
    <row r="57" spans="1:12" s="22" customFormat="1" ht="18.75">
      <c r="A57" s="485" t="s">
        <v>58</v>
      </c>
      <c r="B57" s="496" t="s">
        <v>54</v>
      </c>
      <c r="C57" s="49" t="s">
        <v>140</v>
      </c>
      <c r="D57" s="49" t="str">
        <f>+C57</f>
        <v>≥2</v>
      </c>
      <c r="E57" s="49">
        <v>2</v>
      </c>
      <c r="F57" s="47">
        <v>1</v>
      </c>
      <c r="G57" s="499">
        <f>'Biểu 9 Ctrinh văn hóa'!D12</f>
        <v>0</v>
      </c>
      <c r="H57" s="490">
        <f>ROUND(IF(G57&gt;E57,F57,(IF(G57&lt;D58,0,(IF(G57&lt;E58,F58,FORECAST(G57,F57:F58,E57:E58)))))),2)</f>
        <v>0</v>
      </c>
      <c r="I57" s="478" t="str">
        <f t="shared" si="0"/>
        <v>Không đạt</v>
      </c>
      <c r="J57" s="481"/>
      <c r="K57" s="491"/>
      <c r="L57" s="501"/>
    </row>
    <row r="58" spans="1:12" s="22" customFormat="1" ht="18.75">
      <c r="A58" s="486"/>
      <c r="B58" s="497"/>
      <c r="C58" s="49">
        <v>1</v>
      </c>
      <c r="D58" s="49">
        <v>1</v>
      </c>
      <c r="E58" s="49">
        <f>+C58</f>
        <v>1</v>
      </c>
      <c r="F58" s="46">
        <v>0.75</v>
      </c>
      <c r="G58" s="499"/>
      <c r="H58" s="490"/>
      <c r="I58" s="478"/>
      <c r="J58" s="482"/>
      <c r="K58" s="491"/>
      <c r="L58" s="501"/>
    </row>
    <row r="59" spans="1:12" ht="18.75">
      <c r="A59" s="513" t="s">
        <v>59</v>
      </c>
      <c r="B59" s="514" t="s">
        <v>55</v>
      </c>
      <c r="C59" s="49" t="s">
        <v>140</v>
      </c>
      <c r="D59" s="49" t="str">
        <f>+C59</f>
        <v>≥2</v>
      </c>
      <c r="E59" s="49">
        <v>2</v>
      </c>
      <c r="F59" s="47">
        <v>1</v>
      </c>
      <c r="G59" s="499">
        <f>'Biểu 10 Ctrinh TMDV'!D10</f>
        <v>1</v>
      </c>
      <c r="H59" s="490">
        <f>ROUND(IF(G59&gt;E59,F59,(IF(G59&lt;D60,0,(IF(G59&lt;E60,F60,FORECAST(G59,F59:F60,E59:E60)))))),2)</f>
        <v>0.75</v>
      </c>
      <c r="I59" s="478" t="str">
        <f t="shared" si="0"/>
        <v>Tối thiểu</v>
      </c>
      <c r="J59" s="505"/>
      <c r="K59" s="509" t="s">
        <v>242</v>
      </c>
      <c r="L59" s="492" t="str">
        <f>L40</f>
        <v>UBND XÃ ĐĂK RUỒNG</v>
      </c>
    </row>
    <row r="60" spans="1:12" ht="18.75">
      <c r="A60" s="513"/>
      <c r="B60" s="514"/>
      <c r="C60" s="49">
        <v>1</v>
      </c>
      <c r="D60" s="49">
        <v>1</v>
      </c>
      <c r="E60" s="49">
        <f>+C60</f>
        <v>1</v>
      </c>
      <c r="F60" s="46">
        <v>0.75</v>
      </c>
      <c r="G60" s="499"/>
      <c r="H60" s="490"/>
      <c r="I60" s="478"/>
      <c r="J60" s="505"/>
      <c r="K60" s="509"/>
      <c r="L60" s="492"/>
    </row>
    <row r="61" spans="1:12" ht="18.75">
      <c r="A61" s="24" t="s">
        <v>39</v>
      </c>
      <c r="B61" s="25" t="s">
        <v>60</v>
      </c>
      <c r="C61" s="24"/>
      <c r="D61" s="306"/>
      <c r="E61" s="306"/>
      <c r="F61" s="43" t="s">
        <v>61</v>
      </c>
      <c r="G61" s="325"/>
      <c r="H61" s="299">
        <f>H62+H73+H80+H85</f>
        <v>11.940000000000001</v>
      </c>
      <c r="I61" s="24"/>
      <c r="J61" s="158"/>
      <c r="K61" s="70"/>
      <c r="L61" s="72"/>
    </row>
    <row r="62" spans="1:12" ht="18.75">
      <c r="A62" s="24" t="s">
        <v>14</v>
      </c>
      <c r="B62" s="25" t="s">
        <v>62</v>
      </c>
      <c r="C62" s="24"/>
      <c r="D62" s="306"/>
      <c r="E62" s="306"/>
      <c r="F62" s="43" t="s">
        <v>40</v>
      </c>
      <c r="G62" s="325"/>
      <c r="H62" s="299">
        <f>SUM(H63:H72)</f>
        <v>4.7</v>
      </c>
      <c r="I62" s="24"/>
      <c r="J62" s="158"/>
      <c r="K62" s="70"/>
      <c r="L62" s="72"/>
    </row>
    <row r="63" spans="1:12" ht="27.75" customHeight="1">
      <c r="A63" s="485" t="s">
        <v>63</v>
      </c>
      <c r="B63" s="496" t="s">
        <v>141</v>
      </c>
      <c r="C63" s="512" t="s">
        <v>142</v>
      </c>
      <c r="D63" s="493"/>
      <c r="E63" s="307" t="str">
        <f>+C63</f>
        <v>Vùng liên huyện</v>
      </c>
      <c r="F63" s="47">
        <v>1</v>
      </c>
      <c r="G63" s="489" t="s">
        <v>551</v>
      </c>
      <c r="H63" s="490">
        <v>0</v>
      </c>
      <c r="I63" s="478" t="str">
        <f aca="true" t="shared" si="1" ref="I63:I71">+IF(H63=F63,"Tối đa",IF(H63&gt;F64,"Trung bình",IF(H63=F64,"Tối thiểu","Không đạt")))</f>
        <v>Không đạt</v>
      </c>
      <c r="J63" s="481"/>
      <c r="K63" s="509" t="s">
        <v>243</v>
      </c>
      <c r="L63" s="492" t="str">
        <f>L40</f>
        <v>UBND XÃ ĐĂK RUỒNG</v>
      </c>
    </row>
    <row r="64" spans="1:12" ht="27.75" customHeight="1">
      <c r="A64" s="486"/>
      <c r="B64" s="497"/>
      <c r="C64" s="512" t="s">
        <v>143</v>
      </c>
      <c r="D64" s="493"/>
      <c r="E64" s="307" t="str">
        <f>+C64</f>
        <v> Huyện</v>
      </c>
      <c r="F64" s="46">
        <v>0.75</v>
      </c>
      <c r="G64" s="489"/>
      <c r="H64" s="490"/>
      <c r="I64" s="478"/>
      <c r="J64" s="482"/>
      <c r="K64" s="509"/>
      <c r="L64" s="492"/>
    </row>
    <row r="65" spans="1:12" ht="18.75">
      <c r="A65" s="485" t="s">
        <v>65</v>
      </c>
      <c r="B65" s="510" t="s">
        <v>144</v>
      </c>
      <c r="C65" s="49" t="s">
        <v>145</v>
      </c>
      <c r="D65" s="49" t="str">
        <f>+C65</f>
        <v>≥16</v>
      </c>
      <c r="E65" s="49">
        <v>16</v>
      </c>
      <c r="F65" s="47">
        <v>1</v>
      </c>
      <c r="G65" s="499">
        <f>+'Biểu 11 Giao thông'!K42</f>
        <v>15.642391886070826</v>
      </c>
      <c r="H65" s="490">
        <f aca="true" t="shared" si="2" ref="H65:H71">ROUND(IF(G65&gt;E65,F65,(IF(G65&lt;D66,0,(IF(G65&lt;E66,F66,FORECAST(G65,F65:F66,E65:E66)))))),2)</f>
        <v>0.98</v>
      </c>
      <c r="I65" s="478" t="str">
        <f t="shared" si="1"/>
        <v>Trung bình</v>
      </c>
      <c r="J65" s="481"/>
      <c r="K65" s="509"/>
      <c r="L65" s="492"/>
    </row>
    <row r="66" spans="1:12" ht="18.75">
      <c r="A66" s="486"/>
      <c r="B66" s="511"/>
      <c r="C66" s="49">
        <v>11</v>
      </c>
      <c r="D66" s="49">
        <f>+C66*0.7</f>
        <v>7.699999999999999</v>
      </c>
      <c r="E66" s="49">
        <f>+C66</f>
        <v>11</v>
      </c>
      <c r="F66" s="46">
        <v>0.75</v>
      </c>
      <c r="G66" s="499"/>
      <c r="H66" s="490"/>
      <c r="I66" s="478"/>
      <c r="J66" s="482"/>
      <c r="K66" s="509"/>
      <c r="L66" s="492"/>
    </row>
    <row r="67" spans="1:12" ht="18.75">
      <c r="A67" s="485" t="s">
        <v>66</v>
      </c>
      <c r="B67" s="496" t="s">
        <v>569</v>
      </c>
      <c r="C67" s="49" t="s">
        <v>146</v>
      </c>
      <c r="D67" s="49" t="str">
        <f>+C67</f>
        <v>≥6</v>
      </c>
      <c r="E67" s="49">
        <v>6</v>
      </c>
      <c r="F67" s="47">
        <v>2</v>
      </c>
      <c r="G67" s="499">
        <f>'Biểu 11 Giao thông'!K44</f>
        <v>5.448931587672466</v>
      </c>
      <c r="H67" s="490">
        <f t="shared" si="2"/>
        <v>1.72</v>
      </c>
      <c r="I67" s="478" t="str">
        <f t="shared" si="1"/>
        <v>Trung bình</v>
      </c>
      <c r="J67" s="505"/>
      <c r="K67" s="509"/>
      <c r="L67" s="492"/>
    </row>
    <row r="68" spans="1:12" ht="18.75">
      <c r="A68" s="486"/>
      <c r="B68" s="497"/>
      <c r="C68" s="49">
        <v>5</v>
      </c>
      <c r="D68" s="49">
        <f>+C68*0.7</f>
        <v>3.5</v>
      </c>
      <c r="E68" s="49">
        <f>+C68</f>
        <v>5</v>
      </c>
      <c r="F68" s="46">
        <v>1.5</v>
      </c>
      <c r="G68" s="499"/>
      <c r="H68" s="490"/>
      <c r="I68" s="478"/>
      <c r="J68" s="505"/>
      <c r="K68" s="509"/>
      <c r="L68" s="492"/>
    </row>
    <row r="69" spans="1:12" s="50" customFormat="1" ht="18.75">
      <c r="A69" s="485" t="s">
        <v>67</v>
      </c>
      <c r="B69" s="496" t="s">
        <v>147</v>
      </c>
      <c r="C69" s="49" t="s">
        <v>148</v>
      </c>
      <c r="D69" s="49" t="str">
        <f>+C69</f>
        <v>≥7</v>
      </c>
      <c r="E69" s="49">
        <v>6</v>
      </c>
      <c r="F69" s="47">
        <v>1</v>
      </c>
      <c r="G69" s="499">
        <f>('Biểu 6 Cơ cấu SDD'!C16+'Biểu 6 Cơ cấu SDD'!C20)*10000/('Biểu 2 Chi tiêu KTXH'!F12)</f>
        <v>55.28455434582026</v>
      </c>
      <c r="H69" s="490">
        <f t="shared" si="2"/>
        <v>1</v>
      </c>
      <c r="I69" s="478" t="str">
        <f t="shared" si="1"/>
        <v>Tối đa</v>
      </c>
      <c r="J69" s="481"/>
      <c r="K69" s="509"/>
      <c r="L69" s="492"/>
    </row>
    <row r="70" spans="1:12" s="50" customFormat="1" ht="18.75">
      <c r="A70" s="486"/>
      <c r="B70" s="497"/>
      <c r="C70" s="49">
        <v>5</v>
      </c>
      <c r="D70" s="49">
        <f>+C70*0.7</f>
        <v>3.5</v>
      </c>
      <c r="E70" s="49">
        <f>+C70</f>
        <v>5</v>
      </c>
      <c r="F70" s="46">
        <v>0.75</v>
      </c>
      <c r="G70" s="499"/>
      <c r="H70" s="490"/>
      <c r="I70" s="478"/>
      <c r="J70" s="482"/>
      <c r="K70" s="509"/>
      <c r="L70" s="492"/>
    </row>
    <row r="71" spans="1:12" ht="18.75">
      <c r="A71" s="485" t="s">
        <v>68</v>
      </c>
      <c r="B71" s="496" t="s">
        <v>64</v>
      </c>
      <c r="C71" s="49" t="s">
        <v>140</v>
      </c>
      <c r="D71" s="49" t="str">
        <f>+C71</f>
        <v>≥2</v>
      </c>
      <c r="E71" s="49">
        <v>2</v>
      </c>
      <c r="F71" s="47">
        <v>1</v>
      </c>
      <c r="G71" s="499">
        <f>'Biểu 12 Vận tải công cộng'!D9</f>
        <v>2.0421972073568306</v>
      </c>
      <c r="H71" s="490">
        <f t="shared" si="2"/>
        <v>1</v>
      </c>
      <c r="I71" s="478" t="str">
        <f t="shared" si="1"/>
        <v>Tối đa</v>
      </c>
      <c r="J71" s="481"/>
      <c r="K71" s="491" t="s">
        <v>352</v>
      </c>
      <c r="L71" s="501" t="str">
        <f>'THÔNG TIN CHUNG'!B17</f>
        <v>TRUNG TÂM MÔI TRƯỜNG VÀ DỊCH VỤ ĐÔ THỊ</v>
      </c>
    </row>
    <row r="72" spans="1:12" ht="18.75">
      <c r="A72" s="486"/>
      <c r="B72" s="497"/>
      <c r="C72" s="49">
        <v>1</v>
      </c>
      <c r="D72" s="49">
        <f>+C72*0.7</f>
        <v>0.7</v>
      </c>
      <c r="E72" s="49">
        <f>+C72</f>
        <v>1</v>
      </c>
      <c r="F72" s="46">
        <v>0.75</v>
      </c>
      <c r="G72" s="499"/>
      <c r="H72" s="490"/>
      <c r="I72" s="478"/>
      <c r="J72" s="482"/>
      <c r="K72" s="491"/>
      <c r="L72" s="501"/>
    </row>
    <row r="73" spans="1:12" ht="18.75">
      <c r="A73" s="24" t="s">
        <v>13</v>
      </c>
      <c r="B73" s="308" t="s">
        <v>102</v>
      </c>
      <c r="C73" s="24"/>
      <c r="D73" s="49"/>
      <c r="E73" s="49"/>
      <c r="F73" s="43" t="s">
        <v>70</v>
      </c>
      <c r="G73" s="325"/>
      <c r="H73" s="299">
        <f>SUM(H74:H79)</f>
        <v>2.75</v>
      </c>
      <c r="I73" s="24"/>
      <c r="J73" s="158"/>
      <c r="K73" s="70"/>
      <c r="L73" s="72"/>
    </row>
    <row r="74" spans="1:12" s="22" customFormat="1" ht="18.75">
      <c r="A74" s="485" t="s">
        <v>69</v>
      </c>
      <c r="B74" s="510" t="s">
        <v>149</v>
      </c>
      <c r="C74" s="49" t="s">
        <v>150</v>
      </c>
      <c r="D74" s="49" t="str">
        <f>+C74</f>
        <v>≥1000</v>
      </c>
      <c r="E74" s="49">
        <v>1000</v>
      </c>
      <c r="F74" s="47">
        <v>1</v>
      </c>
      <c r="G74" s="499">
        <f>'Biểu 13 Cấp điện'!C8/(G26*1000)</f>
        <v>322.48453427065033</v>
      </c>
      <c r="H74" s="490">
        <f>ROUND(IF(G74&gt;E74,F74,(IF(G74&lt;D75,0,(IF(G74&lt;E75,F75,FORECAST(G74,F74:F75,E74:E75)))))),2)</f>
        <v>0.75</v>
      </c>
      <c r="I74" s="478" t="str">
        <f>+IF(H74=F74,"Tối đa",IF(H74&gt;F75,"Trung bình",IF(H74=F75,"Tối thiểu","Không đạt")))</f>
        <v>Tối thiểu</v>
      </c>
      <c r="J74" s="481"/>
      <c r="K74" s="491" t="s">
        <v>245</v>
      </c>
      <c r="L74" s="501" t="str">
        <f>'THÔNG TIN CHUNG'!B23</f>
        <v>ĐIỆN LỰC KON RẪY</v>
      </c>
    </row>
    <row r="75" spans="1:12" s="22" customFormat="1" ht="18.75">
      <c r="A75" s="486"/>
      <c r="B75" s="511"/>
      <c r="C75" s="49">
        <v>400</v>
      </c>
      <c r="D75" s="49">
        <f>+C75*0.7</f>
        <v>280</v>
      </c>
      <c r="E75" s="49">
        <f>+C75</f>
        <v>400</v>
      </c>
      <c r="F75" s="46">
        <v>0.75</v>
      </c>
      <c r="G75" s="499"/>
      <c r="H75" s="490"/>
      <c r="I75" s="478"/>
      <c r="J75" s="482"/>
      <c r="K75" s="491"/>
      <c r="L75" s="501"/>
    </row>
    <row r="76" spans="1:12" ht="18.75">
      <c r="A76" s="485" t="s">
        <v>71</v>
      </c>
      <c r="B76" s="510" t="s">
        <v>151</v>
      </c>
      <c r="C76" s="49" t="s">
        <v>134</v>
      </c>
      <c r="D76" s="49" t="str">
        <f>+C76</f>
        <v>≥90</v>
      </c>
      <c r="E76" s="49">
        <v>90</v>
      </c>
      <c r="F76" s="47">
        <v>1</v>
      </c>
      <c r="G76" s="499">
        <f>'Biểu 11 Giao thông'!K45</f>
        <v>100</v>
      </c>
      <c r="H76" s="490">
        <f>ROUND(IF(G76&gt;E76,F76,(IF(G76&lt;D77,0,(IF(G76&lt;E77,F77,FORECAST(G76,F76:F77,E76:E77)))))),2)</f>
        <v>1</v>
      </c>
      <c r="I76" s="478" t="str">
        <f>+IF(H76=F76,"Tối đa",IF(H76&gt;F77,"Trung bình",IF(H76=F77,"Tối thiểu","Không đạt")))</f>
        <v>Tối đa</v>
      </c>
      <c r="J76" s="481"/>
      <c r="K76" s="509" t="s">
        <v>243</v>
      </c>
      <c r="L76" s="492" t="str">
        <f>L63</f>
        <v>UBND XÃ ĐĂK RUỒNG</v>
      </c>
    </row>
    <row r="77" spans="1:12" ht="18.75">
      <c r="A77" s="486"/>
      <c r="B77" s="511"/>
      <c r="C77" s="49">
        <v>80</v>
      </c>
      <c r="D77" s="49">
        <f>+C77*0.7</f>
        <v>56</v>
      </c>
      <c r="E77" s="49">
        <v>80</v>
      </c>
      <c r="F77" s="46">
        <v>0.75</v>
      </c>
      <c r="G77" s="499"/>
      <c r="H77" s="490"/>
      <c r="I77" s="478"/>
      <c r="J77" s="482"/>
      <c r="K77" s="509"/>
      <c r="L77" s="492"/>
    </row>
    <row r="78" spans="1:12" ht="18.75">
      <c r="A78" s="485" t="s">
        <v>72</v>
      </c>
      <c r="B78" s="487" t="s">
        <v>152</v>
      </c>
      <c r="C78" s="49" t="s">
        <v>154</v>
      </c>
      <c r="D78" s="49" t="str">
        <f>+C78</f>
        <v>≥70</v>
      </c>
      <c r="E78" s="49">
        <v>70</v>
      </c>
      <c r="F78" s="47">
        <v>1</v>
      </c>
      <c r="G78" s="499">
        <f>'Biểu 11 Giao thông'!K46</f>
        <v>100</v>
      </c>
      <c r="H78" s="490">
        <f>ROUND(IF(G78&gt;E78,F78,(IF(G78&lt;D79,0,(IF(G78&lt;E79,F79,FORECAST(G78,F78:F79,E78:E79)))))),2)</f>
        <v>1</v>
      </c>
      <c r="I78" s="478" t="str">
        <f>+IF(H78=F78,"Tối đa",IF(H78&gt;F79,"Trung bình",IF(H78=F79,"Tối thiểu","Không đạt")))</f>
        <v>Tối đa</v>
      </c>
      <c r="J78" s="481"/>
      <c r="K78" s="509"/>
      <c r="L78" s="492"/>
    </row>
    <row r="79" spans="1:12" ht="18.75">
      <c r="A79" s="486"/>
      <c r="B79" s="488"/>
      <c r="C79" s="49">
        <v>50</v>
      </c>
      <c r="D79" s="49">
        <f>+C79*0.7</f>
        <v>35</v>
      </c>
      <c r="E79" s="49">
        <v>50</v>
      </c>
      <c r="F79" s="46">
        <v>0.75</v>
      </c>
      <c r="G79" s="499"/>
      <c r="H79" s="490"/>
      <c r="I79" s="478"/>
      <c r="J79" s="482"/>
      <c r="K79" s="509"/>
      <c r="L79" s="492"/>
    </row>
    <row r="80" spans="1:12" ht="18.75">
      <c r="A80" s="24" t="s">
        <v>24</v>
      </c>
      <c r="B80" s="25" t="s">
        <v>73</v>
      </c>
      <c r="C80" s="24"/>
      <c r="D80" s="306"/>
      <c r="E80" s="306"/>
      <c r="F80" s="43" t="s">
        <v>70</v>
      </c>
      <c r="G80" s="325"/>
      <c r="H80" s="299">
        <f>SUM(H81:H84)</f>
        <v>1.9300000000000002</v>
      </c>
      <c r="I80" s="24"/>
      <c r="J80" s="158"/>
      <c r="K80" s="70"/>
      <c r="L80" s="72"/>
    </row>
    <row r="81" spans="1:12" ht="18.75">
      <c r="A81" s="485" t="s">
        <v>74</v>
      </c>
      <c r="B81" s="496" t="s">
        <v>573</v>
      </c>
      <c r="C81" s="49" t="s">
        <v>153</v>
      </c>
      <c r="D81" s="49" t="str">
        <f>+C81</f>
        <v>≥100</v>
      </c>
      <c r="E81" s="49">
        <v>100</v>
      </c>
      <c r="F81" s="47">
        <v>1</v>
      </c>
      <c r="G81" s="499">
        <f>'Biểu 14 Cấp nước'!C21*1000/('Biểu 14 Cấp nước'!C18)</f>
        <v>101.39334737969172</v>
      </c>
      <c r="H81" s="490">
        <f>ROUND(IF(G81&gt;E81,F81,(IF(G81&lt;D82,0,(IF(G81&lt;E82,F82,FORECAST(G81,F81:F82,E81:E82)))))),2)</f>
        <v>1</v>
      </c>
      <c r="I81" s="478" t="str">
        <f>+IF(H81=F81,"Tối đa",IF(H81&gt;F82,"Trung bình",IF(H81=F82,"Tối thiểu","Không đạt")))</f>
        <v>Tối đa</v>
      </c>
      <c r="J81" s="481"/>
      <c r="K81" s="491" t="s">
        <v>355</v>
      </c>
      <c r="L81" s="501" t="str">
        <f>L71</f>
        <v>TRUNG TÂM MÔI TRƯỜNG VÀ DỊCH VỤ ĐÔ THỊ</v>
      </c>
    </row>
    <row r="82" spans="1:12" ht="18.75">
      <c r="A82" s="486"/>
      <c r="B82" s="497"/>
      <c r="C82" s="49">
        <v>80</v>
      </c>
      <c r="D82" s="49">
        <f>+C82*0.7</f>
        <v>56</v>
      </c>
      <c r="E82" s="49">
        <f>+C82</f>
        <v>80</v>
      </c>
      <c r="F82" s="46">
        <v>0.75</v>
      </c>
      <c r="G82" s="499"/>
      <c r="H82" s="490"/>
      <c r="I82" s="478"/>
      <c r="J82" s="482"/>
      <c r="K82" s="491"/>
      <c r="L82" s="501"/>
    </row>
    <row r="83" spans="1:12" s="4" customFormat="1" ht="28.5" customHeight="1">
      <c r="A83" s="485" t="s">
        <v>75</v>
      </c>
      <c r="B83" s="496" t="s">
        <v>155</v>
      </c>
      <c r="C83" s="49" t="s">
        <v>156</v>
      </c>
      <c r="D83" s="49" t="str">
        <f>+C83</f>
        <v>≥95</v>
      </c>
      <c r="E83" s="49">
        <v>95</v>
      </c>
      <c r="F83" s="47">
        <v>1</v>
      </c>
      <c r="G83" s="499">
        <f>'Biểu 14 Cấp nước'!C18/('Biểu 2 Chi tiêu KTXH'!F12)*100</f>
        <v>91</v>
      </c>
      <c r="H83" s="490">
        <f>ROUND(IF(G83&gt;E83,F83,(IF(G83&lt;D84,0,(IF(G83&lt;E84,F84,FORECAST(G83,F83:F84,E83:E84)))))),2)</f>
        <v>0.93</v>
      </c>
      <c r="I83" s="478" t="str">
        <f>+IF(H83=F83,"Tối đa",IF(H83&gt;F84,"Trung bình",IF(H83=F84,"Tối thiểu","Không đạt")))</f>
        <v>Trung bình</v>
      </c>
      <c r="J83" s="507"/>
      <c r="K83" s="491"/>
      <c r="L83" s="501"/>
    </row>
    <row r="84" spans="1:12" s="4" customFormat="1" ht="28.5" customHeight="1">
      <c r="A84" s="486"/>
      <c r="B84" s="497"/>
      <c r="C84" s="49">
        <v>80</v>
      </c>
      <c r="D84" s="49">
        <f>+C84*0.7</f>
        <v>56</v>
      </c>
      <c r="E84" s="49">
        <f>+C84</f>
        <v>80</v>
      </c>
      <c r="F84" s="46">
        <v>0.75</v>
      </c>
      <c r="G84" s="499"/>
      <c r="H84" s="490"/>
      <c r="I84" s="478"/>
      <c r="J84" s="508"/>
      <c r="K84" s="491"/>
      <c r="L84" s="501"/>
    </row>
    <row r="85" spans="1:12" ht="18.75">
      <c r="A85" s="24" t="s">
        <v>23</v>
      </c>
      <c r="B85" s="25" t="s">
        <v>76</v>
      </c>
      <c r="C85" s="24"/>
      <c r="D85" s="306"/>
      <c r="E85" s="306"/>
      <c r="F85" s="43" t="s">
        <v>78</v>
      </c>
      <c r="G85" s="325"/>
      <c r="H85" s="299">
        <f>SUM(H86:H91)</f>
        <v>2.56</v>
      </c>
      <c r="I85" s="24"/>
      <c r="J85" s="158"/>
      <c r="K85" s="70"/>
      <c r="L85" s="72"/>
    </row>
    <row r="86" spans="1:12" s="23" customFormat="1" ht="18.75">
      <c r="A86" s="485" t="s">
        <v>160</v>
      </c>
      <c r="B86" s="496" t="s">
        <v>199</v>
      </c>
      <c r="C86" s="49" t="s">
        <v>157</v>
      </c>
      <c r="D86" s="49" t="str">
        <f>+C86</f>
        <v>≥80</v>
      </c>
      <c r="E86" s="49">
        <v>80</v>
      </c>
      <c r="F86" s="47">
        <v>1</v>
      </c>
      <c r="G86" s="499">
        <f>'Biểu 15 Viễn thông'!C10/('Biểu 2 Chi tiêu KTXH'!F12)*100</f>
        <v>71.04631850895</v>
      </c>
      <c r="H86" s="490">
        <f>ROUND(IF(G86&gt;E86,F86,(IF(G86&lt;D87,0,(IF(G86&lt;E87,F87,FORECAST(G86,F86:F87,E86:E87)))))),2)</f>
        <v>0.78</v>
      </c>
      <c r="I86" s="478" t="str">
        <f>+IF(H86=F86,"Tối đa",IF(H86&gt;F87,"Trung bình",IF(H86=F87,"Tối thiểu","Không đạt")))</f>
        <v>Trung bình</v>
      </c>
      <c r="J86" s="481"/>
      <c r="K86" s="491" t="s">
        <v>356</v>
      </c>
      <c r="L86" s="501" t="str">
        <f>L55</f>
        <v>PHÒNG VĂN HÓA - THÔNG TIN</v>
      </c>
    </row>
    <row r="87" spans="1:12" s="23" customFormat="1" ht="18.75">
      <c r="A87" s="486"/>
      <c r="B87" s="497"/>
      <c r="C87" s="49">
        <v>70</v>
      </c>
      <c r="D87" s="49">
        <f>+C87*0.7</f>
        <v>49</v>
      </c>
      <c r="E87" s="49">
        <f>+C87</f>
        <v>70</v>
      </c>
      <c r="F87" s="46">
        <v>0.75</v>
      </c>
      <c r="G87" s="499"/>
      <c r="H87" s="490"/>
      <c r="I87" s="478"/>
      <c r="J87" s="482"/>
      <c r="K87" s="491"/>
      <c r="L87" s="501"/>
    </row>
    <row r="88" spans="1:12" s="23" customFormat="1" ht="18.75">
      <c r="A88" s="485" t="s">
        <v>77</v>
      </c>
      <c r="B88" s="496" t="s">
        <v>159</v>
      </c>
      <c r="C88" s="49">
        <v>100</v>
      </c>
      <c r="D88" s="49">
        <f>+C88</f>
        <v>100</v>
      </c>
      <c r="E88" s="49">
        <f>+C88</f>
        <v>100</v>
      </c>
      <c r="F88" s="47">
        <v>1</v>
      </c>
      <c r="G88" s="499">
        <f>'Biểu 15 Viễn thông'!D10/'Biểu 5 Nhà ở'!C16%</f>
        <v>65.49925484351714</v>
      </c>
      <c r="H88" s="490">
        <f>ROUND(IF(G88&gt;E88,F88,(IF(G88&lt;D89,0,(IF(G88&lt;E89,F89,FORECAST(G88,F88:F89,E88:E89)))))),2)</f>
        <v>0.78</v>
      </c>
      <c r="I88" s="478" t="str">
        <f>+IF(H88=F88,"Tối đa",IF(H88&gt;F89,"Trung bình",IF(H88=F89,"Tối thiểu","Không đạt")))</f>
        <v>Trung bình</v>
      </c>
      <c r="J88" s="481"/>
      <c r="K88" s="491"/>
      <c r="L88" s="501"/>
    </row>
    <row r="89" spans="1:12" s="23" customFormat="1" ht="18.75">
      <c r="A89" s="486"/>
      <c r="B89" s="497"/>
      <c r="C89" s="49">
        <v>60</v>
      </c>
      <c r="D89" s="49">
        <f>+C89*0.7</f>
        <v>42</v>
      </c>
      <c r="E89" s="49">
        <f>+C89</f>
        <v>60</v>
      </c>
      <c r="F89" s="46">
        <v>0.75</v>
      </c>
      <c r="G89" s="499"/>
      <c r="H89" s="490"/>
      <c r="I89" s="478"/>
      <c r="J89" s="482"/>
      <c r="K89" s="491"/>
      <c r="L89" s="501"/>
    </row>
    <row r="90" spans="1:12" s="23" customFormat="1" ht="18.75">
      <c r="A90" s="485" t="s">
        <v>158</v>
      </c>
      <c r="B90" s="496" t="s">
        <v>161</v>
      </c>
      <c r="C90" s="49" t="s">
        <v>109</v>
      </c>
      <c r="D90" s="49" t="str">
        <f>+C90</f>
        <v>≥50</v>
      </c>
      <c r="E90" s="49">
        <v>50</v>
      </c>
      <c r="F90" s="47">
        <v>1</v>
      </c>
      <c r="G90" s="499">
        <f>'Biểu 16 DV công trực tuyến'!D11</f>
        <v>51.74</v>
      </c>
      <c r="H90" s="490">
        <f>ROUND(IF(G90&gt;E90,F90,(IF(G90&lt;D91,0,(IF(G90&lt;E91,F91,FORECAST(G90,F90:F91,E90:E91)))))),2)</f>
        <v>1</v>
      </c>
      <c r="I90" s="478" t="str">
        <f>+IF(H90=F90,"Tối đa",IF(H90&gt;F91,"Trung bình",IF(H90=F91,"Tối thiểu","Không đạt")))</f>
        <v>Tối đa</v>
      </c>
      <c r="J90" s="481"/>
      <c r="K90" s="491" t="s">
        <v>357</v>
      </c>
      <c r="L90" s="501" t="str">
        <f>'THÔNG TIN CHUNG'!B19</f>
        <v>VĂN PHÒNG HĐND-UBND</v>
      </c>
    </row>
    <row r="91" spans="1:12" s="50" customFormat="1" ht="18.75">
      <c r="A91" s="486"/>
      <c r="B91" s="497"/>
      <c r="C91" s="49">
        <v>20</v>
      </c>
      <c r="D91" s="49">
        <f>+C91*0.7</f>
        <v>14</v>
      </c>
      <c r="E91" s="49">
        <f>+C91</f>
        <v>20</v>
      </c>
      <c r="F91" s="46">
        <v>0.75</v>
      </c>
      <c r="G91" s="499"/>
      <c r="H91" s="490"/>
      <c r="I91" s="478"/>
      <c r="J91" s="482"/>
      <c r="K91" s="491"/>
      <c r="L91" s="501"/>
    </row>
    <row r="92" spans="1:12" ht="18.75">
      <c r="A92" s="24" t="s">
        <v>30</v>
      </c>
      <c r="B92" s="308" t="s">
        <v>162</v>
      </c>
      <c r="C92" s="24"/>
      <c r="D92" s="49"/>
      <c r="E92" s="49"/>
      <c r="F92" s="43" t="s">
        <v>79</v>
      </c>
      <c r="G92" s="325"/>
      <c r="H92" s="299">
        <f>H93+H98+H108+H113</f>
        <v>11.75</v>
      </c>
      <c r="I92" s="24"/>
      <c r="J92" s="158"/>
      <c r="K92" s="70"/>
      <c r="L92" s="72"/>
    </row>
    <row r="93" spans="1:12" s="8" customFormat="1" ht="31.5">
      <c r="A93" s="24" t="s">
        <v>12</v>
      </c>
      <c r="B93" s="308" t="s">
        <v>163</v>
      </c>
      <c r="C93" s="24"/>
      <c r="D93" s="49"/>
      <c r="E93" s="49"/>
      <c r="F93" s="43" t="s">
        <v>70</v>
      </c>
      <c r="G93" s="325"/>
      <c r="H93" s="299">
        <f>SUM(H94:H97)</f>
        <v>3</v>
      </c>
      <c r="I93" s="24"/>
      <c r="J93" s="158"/>
      <c r="K93" s="70"/>
      <c r="L93" s="72"/>
    </row>
    <row r="94" spans="1:12" s="8" customFormat="1" ht="18.75">
      <c r="A94" s="485" t="s">
        <v>80</v>
      </c>
      <c r="B94" s="496" t="s">
        <v>110</v>
      </c>
      <c r="C94" s="49" t="s">
        <v>164</v>
      </c>
      <c r="D94" s="49" t="str">
        <f>+C94</f>
        <v>≥3</v>
      </c>
      <c r="E94" s="49">
        <v>3</v>
      </c>
      <c r="F94" s="47">
        <v>2</v>
      </c>
      <c r="G94" s="499">
        <f>'Biểu 11 Giao thông'!K47</f>
        <v>11.986508112623842</v>
      </c>
      <c r="H94" s="490">
        <f>ROUND(IF(G94&gt;E94,F94,(IF(G94&lt;D95,0,(IF(G94&lt;E95,F95,FORECAST(G94,F94:F95,E94:E95)))))),2)</f>
        <v>2</v>
      </c>
      <c r="I94" s="478" t="str">
        <f>+IF(H94=F94,"Tối đa",IF(H94&gt;F95,"Trung bình",IF(H94=F95,"Tối thiểu","Không đạt")))</f>
        <v>Tối đa</v>
      </c>
      <c r="J94" s="481"/>
      <c r="K94" s="491" t="str">
        <f>K76</f>
        <v>Biểu 11</v>
      </c>
      <c r="L94" s="492" t="str">
        <f>L76</f>
        <v>UBND XÃ ĐĂK RUỒNG</v>
      </c>
    </row>
    <row r="95" spans="1:12" s="8" customFormat="1" ht="18.75">
      <c r="A95" s="486"/>
      <c r="B95" s="497"/>
      <c r="C95" s="49">
        <v>2.5</v>
      </c>
      <c r="D95" s="49">
        <f>+C95*0.7</f>
        <v>1.75</v>
      </c>
      <c r="E95" s="49">
        <f>+C95</f>
        <v>2.5</v>
      </c>
      <c r="F95" s="46">
        <v>1.5</v>
      </c>
      <c r="G95" s="499"/>
      <c r="H95" s="490"/>
      <c r="I95" s="478"/>
      <c r="J95" s="482"/>
      <c r="K95" s="491"/>
      <c r="L95" s="492"/>
    </row>
    <row r="96" spans="1:12" s="8" customFormat="1" ht="18.75">
      <c r="A96" s="485" t="s">
        <v>81</v>
      </c>
      <c r="B96" s="496" t="s">
        <v>165</v>
      </c>
      <c r="C96" s="111" t="s">
        <v>166</v>
      </c>
      <c r="D96" s="49" t="str">
        <f>+C96</f>
        <v>≥20</v>
      </c>
      <c r="E96" s="49">
        <v>20</v>
      </c>
      <c r="F96" s="47">
        <v>1</v>
      </c>
      <c r="G96" s="506" t="s">
        <v>436</v>
      </c>
      <c r="H96" s="490">
        <v>1</v>
      </c>
      <c r="I96" s="478" t="str">
        <f>+IF(H96=F96,"Tối đa",IF(H96&gt;F97,"Trung bình",IF(H96=F97,"Tối thiểu","Không đạt")))</f>
        <v>Tối đa</v>
      </c>
      <c r="J96" s="481"/>
      <c r="K96" s="491" t="s">
        <v>366</v>
      </c>
      <c r="L96" s="492"/>
    </row>
    <row r="97" spans="1:12" s="8" customFormat="1" ht="18.75">
      <c r="A97" s="486"/>
      <c r="B97" s="497"/>
      <c r="C97" s="111">
        <v>10</v>
      </c>
      <c r="D97" s="49">
        <f>+C97*0.7</f>
        <v>7</v>
      </c>
      <c r="E97" s="49">
        <f>+C97</f>
        <v>10</v>
      </c>
      <c r="F97" s="46">
        <v>0.75</v>
      </c>
      <c r="G97" s="506"/>
      <c r="H97" s="490"/>
      <c r="I97" s="478"/>
      <c r="J97" s="482"/>
      <c r="K97" s="491"/>
      <c r="L97" s="492"/>
    </row>
    <row r="98" spans="1:12" ht="33" customHeight="1">
      <c r="A98" s="24" t="s">
        <v>20</v>
      </c>
      <c r="B98" s="308" t="s">
        <v>82</v>
      </c>
      <c r="C98" s="24"/>
      <c r="D98" s="306"/>
      <c r="E98" s="306"/>
      <c r="F98" s="43" t="s">
        <v>87</v>
      </c>
      <c r="G98" s="325"/>
      <c r="H98" s="299">
        <f>SUM(H99:H107)</f>
        <v>3.5</v>
      </c>
      <c r="I98" s="24"/>
      <c r="J98" s="158"/>
      <c r="K98" s="70"/>
      <c r="L98" s="72"/>
    </row>
    <row r="99" spans="1:12" ht="18.75">
      <c r="A99" s="485" t="s">
        <v>83</v>
      </c>
      <c r="B99" s="504" t="s">
        <v>167</v>
      </c>
      <c r="C99" s="7" t="s">
        <v>168</v>
      </c>
      <c r="D99" s="49" t="str">
        <f>+C99</f>
        <v>≥15</v>
      </c>
      <c r="E99" s="49">
        <v>15</v>
      </c>
      <c r="F99" s="47">
        <v>2</v>
      </c>
      <c r="G99" s="499" t="s">
        <v>612</v>
      </c>
      <c r="H99" s="490">
        <v>0</v>
      </c>
      <c r="I99" s="478" t="str">
        <f aca="true" t="shared" si="3" ref="I99:I105">+IF(H99=F99,"Tối đa",IF(H99&gt;F100,"Trung bình",IF(H99=F100,"Tối thiểu","Không đạt")))</f>
        <v>Không đạt</v>
      </c>
      <c r="J99" s="505"/>
      <c r="K99" s="70"/>
      <c r="L99" s="72"/>
    </row>
    <row r="100" spans="1:12" ht="18.75">
      <c r="A100" s="486"/>
      <c r="B100" s="504"/>
      <c r="C100" s="185">
        <v>10</v>
      </c>
      <c r="D100" s="49">
        <f>+C100*0.7</f>
        <v>7</v>
      </c>
      <c r="E100" s="49">
        <f aca="true" t="shared" si="4" ref="E100:E106">+C100</f>
        <v>10</v>
      </c>
      <c r="F100" s="46">
        <v>1.5</v>
      </c>
      <c r="G100" s="499"/>
      <c r="H100" s="490"/>
      <c r="I100" s="478"/>
      <c r="J100" s="505"/>
      <c r="K100" s="164"/>
      <c r="L100" s="165"/>
    </row>
    <row r="101" spans="1:12" ht="18.75">
      <c r="A101" s="485" t="s">
        <v>437</v>
      </c>
      <c r="B101" s="496" t="s">
        <v>169</v>
      </c>
      <c r="C101" s="49" t="s">
        <v>170</v>
      </c>
      <c r="D101" s="49" t="str">
        <f>+C101</f>
        <v>≥85</v>
      </c>
      <c r="E101" s="49">
        <v>85</v>
      </c>
      <c r="F101" s="47">
        <v>1</v>
      </c>
      <c r="G101" s="499">
        <f>'Biểu 18 Thu gom CTR'!E11</f>
        <v>100</v>
      </c>
      <c r="H101" s="490">
        <f>ROUND(IF(G101&gt;E101,F101,(IF(G101&lt;D102,0,(IF(G101&lt;E102,F102,FORECAST(G101,F101:F102,E101:E102)))))),2)</f>
        <v>1</v>
      </c>
      <c r="I101" s="478" t="str">
        <f t="shared" si="3"/>
        <v>Tối đa</v>
      </c>
      <c r="J101" s="481"/>
      <c r="K101" s="491" t="s">
        <v>371</v>
      </c>
      <c r="L101" s="501" t="str">
        <f>L81</f>
        <v>TRUNG TÂM MÔI TRƯỜNG VÀ DỊCH VỤ ĐÔ THỊ</v>
      </c>
    </row>
    <row r="102" spans="1:12" ht="18.75">
      <c r="A102" s="486"/>
      <c r="B102" s="497"/>
      <c r="C102" s="49">
        <v>70</v>
      </c>
      <c r="D102" s="49">
        <f>+C102*0.7</f>
        <v>49</v>
      </c>
      <c r="E102" s="49">
        <f t="shared" si="4"/>
        <v>70</v>
      </c>
      <c r="F102" s="46">
        <v>0.75</v>
      </c>
      <c r="G102" s="499"/>
      <c r="H102" s="490"/>
      <c r="I102" s="478"/>
      <c r="J102" s="482"/>
      <c r="K102" s="491"/>
      <c r="L102" s="501"/>
    </row>
    <row r="103" spans="1:12" ht="18.75">
      <c r="A103" s="485" t="s">
        <v>85</v>
      </c>
      <c r="B103" s="496" t="s">
        <v>84</v>
      </c>
      <c r="C103" s="49" t="s">
        <v>134</v>
      </c>
      <c r="D103" s="49" t="str">
        <f>+C103</f>
        <v>≥90</v>
      </c>
      <c r="E103" s="49">
        <v>90</v>
      </c>
      <c r="F103" s="47">
        <v>1</v>
      </c>
      <c r="G103" s="499">
        <f>'Biểu 18 Thu gom CTR'!E14</f>
        <v>93.5</v>
      </c>
      <c r="H103" s="490">
        <f>ROUND(IF(G103&gt;E103,F103,(IF(G103&lt;D104,0,(IF(G103&lt;E104,F104,FORECAST(G103,F103:F104,E103:E104)))))),2)</f>
        <v>1</v>
      </c>
      <c r="I103" s="478" t="str">
        <f t="shared" si="3"/>
        <v>Tối đa</v>
      </c>
      <c r="J103" s="481"/>
      <c r="K103" s="491"/>
      <c r="L103" s="501"/>
    </row>
    <row r="104" spans="1:12" ht="18.75">
      <c r="A104" s="486"/>
      <c r="B104" s="497"/>
      <c r="C104" s="49">
        <v>80</v>
      </c>
      <c r="D104" s="49">
        <f>+C104*0.7</f>
        <v>56</v>
      </c>
      <c r="E104" s="49">
        <f t="shared" si="4"/>
        <v>80</v>
      </c>
      <c r="F104" s="46">
        <v>0.75</v>
      </c>
      <c r="G104" s="499"/>
      <c r="H104" s="490"/>
      <c r="I104" s="478"/>
      <c r="J104" s="482"/>
      <c r="K104" s="491"/>
      <c r="L104" s="501"/>
    </row>
    <row r="105" spans="1:12" ht="18.75">
      <c r="A105" s="485" t="s">
        <v>86</v>
      </c>
      <c r="B105" s="496" t="s">
        <v>171</v>
      </c>
      <c r="C105" s="49" t="s">
        <v>172</v>
      </c>
      <c r="D105" s="49" t="str">
        <f>+C105</f>
        <v>≥65</v>
      </c>
      <c r="E105" s="49">
        <v>60</v>
      </c>
      <c r="F105" s="47">
        <v>1</v>
      </c>
      <c r="G105" s="499">
        <f>'Biểu 18 Thu gom CTR'!E15</f>
        <v>93.5</v>
      </c>
      <c r="H105" s="490">
        <f>ROUND(IF(G105&gt;E105,F105,(IF(G105&lt;D106,0,(IF(G105&lt;E106,F106,FORECAST(G105,F105:F106,E105:E106)))))),2)</f>
        <v>1</v>
      </c>
      <c r="I105" s="478" t="str">
        <f t="shared" si="3"/>
        <v>Tối đa</v>
      </c>
      <c r="J105" s="481"/>
      <c r="K105" s="491"/>
      <c r="L105" s="501"/>
    </row>
    <row r="106" spans="1:12" ht="18.75">
      <c r="A106" s="486"/>
      <c r="B106" s="497"/>
      <c r="C106" s="49">
        <v>60</v>
      </c>
      <c r="D106" s="49">
        <f>+C106*0.7</f>
        <v>42</v>
      </c>
      <c r="E106" s="49">
        <f t="shared" si="4"/>
        <v>60</v>
      </c>
      <c r="F106" s="46">
        <v>0.75</v>
      </c>
      <c r="G106" s="499"/>
      <c r="H106" s="490"/>
      <c r="I106" s="478"/>
      <c r="J106" s="482"/>
      <c r="K106" s="491"/>
      <c r="L106" s="501"/>
    </row>
    <row r="107" spans="1:12" s="179" customFormat="1" ht="31.5">
      <c r="A107" s="309" t="s">
        <v>453</v>
      </c>
      <c r="B107" s="310" t="s">
        <v>454</v>
      </c>
      <c r="C107" s="311"/>
      <c r="D107" s="311"/>
      <c r="E107" s="311"/>
      <c r="F107" s="312"/>
      <c r="G107" s="329"/>
      <c r="H107" s="330">
        <v>0.5</v>
      </c>
      <c r="I107" s="331" t="s">
        <v>455</v>
      </c>
      <c r="J107" s="156"/>
      <c r="K107" s="177"/>
      <c r="L107" s="178"/>
    </row>
    <row r="108" spans="1:12" ht="18.75">
      <c r="A108" s="24" t="s">
        <v>19</v>
      </c>
      <c r="B108" s="305" t="s">
        <v>173</v>
      </c>
      <c r="C108" s="24"/>
      <c r="D108" s="306"/>
      <c r="E108" s="306"/>
      <c r="F108" s="43" t="s">
        <v>78</v>
      </c>
      <c r="G108" s="325"/>
      <c r="H108" s="299">
        <f>SUM(H109:H112)</f>
        <v>1.25</v>
      </c>
      <c r="I108" s="24"/>
      <c r="J108" s="158"/>
      <c r="K108" s="70"/>
      <c r="L108" s="72"/>
    </row>
    <row r="109" spans="1:12" s="22" customFormat="1" ht="35.25" customHeight="1">
      <c r="A109" s="7" t="s">
        <v>88</v>
      </c>
      <c r="B109" s="37" t="s">
        <v>90</v>
      </c>
      <c r="C109" s="483" t="s">
        <v>451</v>
      </c>
      <c r="D109" s="484"/>
      <c r="E109" s="302"/>
      <c r="F109" s="42" t="s">
        <v>127</v>
      </c>
      <c r="G109" s="328" t="s">
        <v>196</v>
      </c>
      <c r="H109" s="324">
        <v>0.75</v>
      </c>
      <c r="I109" s="285" t="s">
        <v>439</v>
      </c>
      <c r="J109" s="159"/>
      <c r="K109" s="70"/>
      <c r="L109" s="72"/>
    </row>
    <row r="110" spans="1:12" ht="18.75">
      <c r="A110" s="485" t="s">
        <v>89</v>
      </c>
      <c r="B110" s="496" t="s">
        <v>91</v>
      </c>
      <c r="C110" s="111" t="s">
        <v>174</v>
      </c>
      <c r="D110" s="49" t="str">
        <f>+C110</f>
        <v>≥10</v>
      </c>
      <c r="E110" s="49">
        <v>10</v>
      </c>
      <c r="F110" s="47">
        <v>1</v>
      </c>
      <c r="G110" s="495">
        <v>0</v>
      </c>
      <c r="H110" s="490">
        <f>ROUND(IF(G110&gt;E110,F110,(IF(G110&lt;D111,0,(IF(G110&lt;E111,F111,FORECAST(G110,F110:F111,E110:E111)))))),2)</f>
        <v>0</v>
      </c>
      <c r="I110" s="478" t="str">
        <f>+IF(H110=F110,"Tối đa",IF(H110&gt;F111,"Trung bình",IF(H110=F111,"Tối thiểu","Không đạt")))</f>
        <v>Không đạt</v>
      </c>
      <c r="J110" s="481"/>
      <c r="K110" s="500"/>
      <c r="L110" s="501"/>
    </row>
    <row r="111" spans="1:12" ht="18.75">
      <c r="A111" s="486"/>
      <c r="B111" s="497"/>
      <c r="C111" s="111">
        <v>5</v>
      </c>
      <c r="D111" s="49">
        <f>+C111*0.7</f>
        <v>3.5</v>
      </c>
      <c r="E111" s="49">
        <f>+C111</f>
        <v>5</v>
      </c>
      <c r="F111" s="46">
        <v>0.75</v>
      </c>
      <c r="G111" s="489"/>
      <c r="H111" s="490"/>
      <c r="I111" s="478"/>
      <c r="J111" s="482"/>
      <c r="K111" s="500"/>
      <c r="L111" s="501"/>
    </row>
    <row r="112" spans="1:12" s="179" customFormat="1" ht="47.25">
      <c r="A112" s="314" t="s">
        <v>175</v>
      </c>
      <c r="B112" s="315" t="s">
        <v>176</v>
      </c>
      <c r="C112" s="316"/>
      <c r="D112" s="316"/>
      <c r="E112" s="316"/>
      <c r="F112" s="317"/>
      <c r="G112" s="332"/>
      <c r="H112" s="330">
        <v>0.5</v>
      </c>
      <c r="I112" s="331" t="s">
        <v>455</v>
      </c>
      <c r="J112" s="159"/>
      <c r="K112" s="184" t="s">
        <v>385</v>
      </c>
      <c r="L112" s="376" t="str">
        <f>L94</f>
        <v>UBND XÃ ĐĂK RUỒNG</v>
      </c>
    </row>
    <row r="113" spans="1:12" ht="18.75">
      <c r="A113" s="24" t="s">
        <v>18</v>
      </c>
      <c r="B113" s="305" t="s">
        <v>92</v>
      </c>
      <c r="C113" s="24"/>
      <c r="D113" s="49"/>
      <c r="E113" s="49"/>
      <c r="F113" s="43" t="s">
        <v>93</v>
      </c>
      <c r="G113" s="325"/>
      <c r="H113" s="299">
        <f>SUM(H114:H117)</f>
        <v>4</v>
      </c>
      <c r="I113" s="24"/>
      <c r="J113" s="158"/>
      <c r="K113" s="70"/>
      <c r="L113" s="72"/>
    </row>
    <row r="114" spans="1:12" s="23" customFormat="1" ht="18.75">
      <c r="A114" s="485" t="s">
        <v>94</v>
      </c>
      <c r="B114" s="502" t="s">
        <v>177</v>
      </c>
      <c r="C114" s="49" t="s">
        <v>178</v>
      </c>
      <c r="D114" s="49" t="str">
        <f>+C114</f>
        <v>≥8</v>
      </c>
      <c r="E114" s="49">
        <v>8</v>
      </c>
      <c r="F114" s="47">
        <v>2</v>
      </c>
      <c r="G114" s="499">
        <f>'Biểu 19 Nghĩa trang-Cây xanhĐT'!D21*10000/('Biểu 2 Chi tiêu KTXH'!F12)</f>
        <v>29.415021221627608</v>
      </c>
      <c r="H114" s="490">
        <f>ROUND(IF(G114&gt;E114,F114,(IF(G114&lt;D115,0,(IF(G114&lt;E115,F115,FORECAST(G114,F114:F115,E114:E115)))))),2)</f>
        <v>2</v>
      </c>
      <c r="I114" s="478" t="str">
        <f>+IF(H114=F114,"Tối đa",IF(H114&gt;F115,"Trung bình",IF(H114=F115,"Tối thiểu","Không đạt")))</f>
        <v>Tối đa</v>
      </c>
      <c r="J114" s="481"/>
      <c r="K114" s="491" t="str">
        <f>+K112</f>
        <v>Biểu 19</v>
      </c>
      <c r="L114" s="492" t="str">
        <f>'THÔNG TIN CHUNG'!B11</f>
        <v>PHÒNG KINH TẾ - HẠ TẦNG</v>
      </c>
    </row>
    <row r="115" spans="1:12" s="23" customFormat="1" ht="18.75">
      <c r="A115" s="486"/>
      <c r="B115" s="503"/>
      <c r="C115" s="49">
        <v>6</v>
      </c>
      <c r="D115" s="49">
        <f>+C115*0.7</f>
        <v>4.199999999999999</v>
      </c>
      <c r="E115" s="49">
        <f>+C115</f>
        <v>6</v>
      </c>
      <c r="F115" s="46">
        <v>1.5</v>
      </c>
      <c r="G115" s="499"/>
      <c r="H115" s="490"/>
      <c r="I115" s="478"/>
      <c r="J115" s="482"/>
      <c r="K115" s="491"/>
      <c r="L115" s="492"/>
    </row>
    <row r="116" spans="1:12" s="4" customFormat="1" ht="18.75">
      <c r="A116" s="485" t="s">
        <v>95</v>
      </c>
      <c r="B116" s="496" t="s">
        <v>179</v>
      </c>
      <c r="C116" s="49" t="s">
        <v>180</v>
      </c>
      <c r="D116" s="49" t="str">
        <f>+C116</f>
        <v>≥4</v>
      </c>
      <c r="E116" s="49">
        <v>4</v>
      </c>
      <c r="F116" s="47">
        <v>2</v>
      </c>
      <c r="G116" s="499">
        <f>'Biểu 19 Nghĩa trang-Cây xanhĐT'!D14*10000/('Biểu 2 Chi tiêu KTXH'!F12)</f>
        <v>5.905148551393246</v>
      </c>
      <c r="H116" s="490">
        <f>ROUND(IF(G116&gt;E116,F116,(IF(G116&lt;D117,0,(IF(G116&lt;E117,F117,FORECAST(G116,F116:F117,E116:E117)))))),2)</f>
        <v>2</v>
      </c>
      <c r="I116" s="478" t="str">
        <f>+IF(H116=F116,"Tối đa",IF(H116&gt;F117,"Trung bình",IF(H116=F117,"Tối thiểu","Không đạt")))</f>
        <v>Tối đa</v>
      </c>
      <c r="J116" s="481"/>
      <c r="K116" s="491"/>
      <c r="L116" s="492"/>
    </row>
    <row r="117" spans="1:12" s="4" customFormat="1" ht="18.75">
      <c r="A117" s="486"/>
      <c r="B117" s="497"/>
      <c r="C117" s="49">
        <v>3</v>
      </c>
      <c r="D117" s="49">
        <f>+C117*0.7</f>
        <v>2.0999999999999996</v>
      </c>
      <c r="E117" s="49">
        <f>+C117</f>
        <v>3</v>
      </c>
      <c r="F117" s="46">
        <v>1.5</v>
      </c>
      <c r="G117" s="499"/>
      <c r="H117" s="490"/>
      <c r="I117" s="478"/>
      <c r="J117" s="482"/>
      <c r="K117" s="491"/>
      <c r="L117" s="492"/>
    </row>
    <row r="118" spans="1:12" ht="18.75">
      <c r="A118" s="24" t="s">
        <v>33</v>
      </c>
      <c r="B118" s="308" t="s">
        <v>96</v>
      </c>
      <c r="C118" s="24"/>
      <c r="D118" s="306"/>
      <c r="E118" s="306"/>
      <c r="F118" s="43" t="s">
        <v>97</v>
      </c>
      <c r="G118" s="325"/>
      <c r="H118" s="299">
        <f>SUM(H119:H132)</f>
        <v>7</v>
      </c>
      <c r="I118" s="24"/>
      <c r="J118" s="158"/>
      <c r="K118" s="70"/>
      <c r="L118" s="165"/>
    </row>
    <row r="119" spans="1:12" ht="63">
      <c r="A119" s="485" t="s">
        <v>11</v>
      </c>
      <c r="B119" s="496" t="s">
        <v>373</v>
      </c>
      <c r="C119" s="318" t="s">
        <v>181</v>
      </c>
      <c r="D119" s="318" t="s">
        <v>182</v>
      </c>
      <c r="E119" s="318"/>
      <c r="F119" s="47">
        <v>2</v>
      </c>
      <c r="G119" s="489" t="s">
        <v>445</v>
      </c>
      <c r="H119" s="490">
        <v>0</v>
      </c>
      <c r="I119" s="478" t="str">
        <f>+IF(H119=F119,"Tối đa",IF(H119&gt;F120,"Trung bình",IF(H119=F120,"Tối thiểu","Không đạt")))</f>
        <v>Không đạt</v>
      </c>
      <c r="J119" s="481"/>
      <c r="K119" s="70"/>
      <c r="L119" s="166"/>
    </row>
    <row r="120" spans="1:12" ht="47.25">
      <c r="A120" s="486"/>
      <c r="B120" s="497"/>
      <c r="C120" s="295" t="s">
        <v>182</v>
      </c>
      <c r="D120" s="295" t="s">
        <v>183</v>
      </c>
      <c r="E120" s="295"/>
      <c r="F120" s="46">
        <v>1.5</v>
      </c>
      <c r="G120" s="489"/>
      <c r="H120" s="490"/>
      <c r="I120" s="478"/>
      <c r="J120" s="482"/>
      <c r="K120" s="70"/>
      <c r="L120" s="166"/>
    </row>
    <row r="121" spans="1:12" ht="18.75">
      <c r="A121" s="485" t="s">
        <v>17</v>
      </c>
      <c r="B121" s="496" t="s">
        <v>184</v>
      </c>
      <c r="C121" s="49" t="s">
        <v>139</v>
      </c>
      <c r="D121" s="49" t="str">
        <f>+C121</f>
        <v>≥30</v>
      </c>
      <c r="E121" s="49">
        <v>30</v>
      </c>
      <c r="F121" s="47">
        <v>2</v>
      </c>
      <c r="G121" s="498">
        <f>2/11*100</f>
        <v>18.181818181818183</v>
      </c>
      <c r="H121" s="490">
        <f>ROUND(IF(G121&gt;E121,F121,(IF(G121&lt;D122,0,(IF(G121&lt;E122,F122,FORECAST(G121,F121:F122,E121:E122)))))),2)</f>
        <v>1.5</v>
      </c>
      <c r="I121" s="478" t="str">
        <f aca="true" t="shared" si="5" ref="I121:I133">+IF(H121=F121,"Tối đa",IF(H121&gt;F122,"Trung bình",IF(H121=F122,"Tối thiểu","Không đạt")))</f>
        <v>Tối thiểu</v>
      </c>
      <c r="J121" s="481"/>
      <c r="K121" s="70"/>
      <c r="L121" s="166"/>
    </row>
    <row r="122" spans="1:12" ht="18.75">
      <c r="A122" s="486"/>
      <c r="B122" s="497"/>
      <c r="C122" s="301">
        <v>20</v>
      </c>
      <c r="D122" s="49">
        <f>+C122*0.7</f>
        <v>14</v>
      </c>
      <c r="E122" s="49">
        <f>+C122</f>
        <v>20</v>
      </c>
      <c r="F122" s="46">
        <v>1.5</v>
      </c>
      <c r="G122" s="498"/>
      <c r="H122" s="490"/>
      <c r="I122" s="478"/>
      <c r="J122" s="482"/>
      <c r="K122" s="70"/>
      <c r="L122" s="166"/>
    </row>
    <row r="123" spans="1:12" ht="33.75" customHeight="1">
      <c r="A123" s="485" t="s">
        <v>16</v>
      </c>
      <c r="B123" s="487" t="s">
        <v>185</v>
      </c>
      <c r="C123" s="111" t="s">
        <v>140</v>
      </c>
      <c r="D123" s="49" t="str">
        <f>+C123</f>
        <v>≥2</v>
      </c>
      <c r="E123" s="49">
        <v>2</v>
      </c>
      <c r="F123" s="47">
        <v>2</v>
      </c>
      <c r="G123" s="489" t="s">
        <v>39</v>
      </c>
      <c r="H123" s="490">
        <v>2</v>
      </c>
      <c r="I123" s="478" t="str">
        <f t="shared" si="5"/>
        <v>Tối đa</v>
      </c>
      <c r="J123" s="481"/>
      <c r="K123" s="70"/>
      <c r="L123" s="166"/>
    </row>
    <row r="124" spans="1:12" ht="33.75" customHeight="1">
      <c r="A124" s="486"/>
      <c r="B124" s="488"/>
      <c r="C124" s="111">
        <v>1</v>
      </c>
      <c r="D124" s="49">
        <v>1</v>
      </c>
      <c r="E124" s="49">
        <f>+C124</f>
        <v>1</v>
      </c>
      <c r="F124" s="46">
        <v>1.5</v>
      </c>
      <c r="G124" s="489"/>
      <c r="H124" s="490"/>
      <c r="I124" s="478"/>
      <c r="J124" s="482"/>
      <c r="K124" s="70"/>
      <c r="L124" s="166"/>
    </row>
    <row r="125" spans="1:12" ht="18.75">
      <c r="A125" s="485" t="s">
        <v>98</v>
      </c>
      <c r="B125" s="487" t="s">
        <v>101</v>
      </c>
      <c r="C125" s="111" t="s">
        <v>140</v>
      </c>
      <c r="D125" s="49" t="str">
        <f>+C125</f>
        <v>≥2</v>
      </c>
      <c r="E125" s="49">
        <v>2</v>
      </c>
      <c r="F125" s="47">
        <v>2</v>
      </c>
      <c r="G125" s="495">
        <v>2</v>
      </c>
      <c r="H125" s="490">
        <f>ROUND(IF(G125&gt;E125,F125,(IF(G125&lt;D126,0,(IF(G125&lt;E126,F126,FORECAST(G125,F125:F126,E125:E126)))))),2)</f>
        <v>2</v>
      </c>
      <c r="I125" s="478" t="str">
        <f t="shared" si="5"/>
        <v>Tối đa</v>
      </c>
      <c r="J125" s="481"/>
      <c r="K125" s="491" t="s">
        <v>386</v>
      </c>
      <c r="L125" s="492" t="str">
        <f>L114</f>
        <v>PHÒNG KINH TẾ - HẠ TẦNG</v>
      </c>
    </row>
    <row r="126" spans="1:12" ht="18.75">
      <c r="A126" s="486"/>
      <c r="B126" s="488"/>
      <c r="C126" s="111">
        <v>1</v>
      </c>
      <c r="D126" s="111">
        <v>1</v>
      </c>
      <c r="E126" s="49">
        <f>+C126</f>
        <v>1</v>
      </c>
      <c r="F126" s="46">
        <v>1.5</v>
      </c>
      <c r="G126" s="489"/>
      <c r="H126" s="490"/>
      <c r="I126" s="478"/>
      <c r="J126" s="482"/>
      <c r="K126" s="491"/>
      <c r="L126" s="492"/>
    </row>
    <row r="127" spans="1:12" s="4" customFormat="1" ht="38.25" customHeight="1">
      <c r="A127" s="485" t="s">
        <v>99</v>
      </c>
      <c r="B127" s="487" t="s">
        <v>190</v>
      </c>
      <c r="C127" s="483" t="s">
        <v>186</v>
      </c>
      <c r="D127" s="493"/>
      <c r="E127" s="307" t="str">
        <f>+C127</f>
        <v>Có 01 công trình là di tích cấp quốc gia đặc biệt</v>
      </c>
      <c r="F127" s="47">
        <v>2</v>
      </c>
      <c r="G127" s="494" t="s">
        <v>32</v>
      </c>
      <c r="H127" s="490">
        <v>1.5</v>
      </c>
      <c r="I127" s="478" t="str">
        <f t="shared" si="5"/>
        <v>Tối thiểu</v>
      </c>
      <c r="J127" s="481"/>
      <c r="K127" s="491"/>
      <c r="L127" s="492"/>
    </row>
    <row r="128" spans="1:12" s="4" customFormat="1" ht="45.75" customHeight="1">
      <c r="A128" s="486"/>
      <c r="B128" s="488"/>
      <c r="C128" s="483" t="s">
        <v>187</v>
      </c>
      <c r="D128" s="484"/>
      <c r="E128" s="302" t="str">
        <f>+C128</f>
        <v>Có 01 công trình là di tích cấp quốc gia hoặc cấp tỉnh hoặc công trình kiến trúc loại I hoặc loại II được cơ quan có thẩm
quyền công nhận</v>
      </c>
      <c r="F128" s="46">
        <v>1.5</v>
      </c>
      <c r="G128" s="494"/>
      <c r="H128" s="490"/>
      <c r="I128" s="478"/>
      <c r="J128" s="482"/>
      <c r="K128" s="491"/>
      <c r="L128" s="492"/>
    </row>
    <row r="129" spans="1:12" s="4" customFormat="1" ht="37.5" customHeight="1">
      <c r="A129" s="485" t="s">
        <v>188</v>
      </c>
      <c r="B129" s="487" t="s">
        <v>189</v>
      </c>
      <c r="C129" s="483" t="s">
        <v>191</v>
      </c>
      <c r="D129" s="484"/>
      <c r="E129" s="302" t="str">
        <f>+C129</f>
        <v>Có 02 công trình xanh trở lên đã được cấp giấy chứng nhận</v>
      </c>
      <c r="F129" s="47">
        <v>1</v>
      </c>
      <c r="G129" s="489" t="s">
        <v>551</v>
      </c>
      <c r="H129" s="490">
        <v>0</v>
      </c>
      <c r="I129" s="478" t="str">
        <f t="shared" si="5"/>
        <v>Không đạt</v>
      </c>
      <c r="J129" s="481"/>
      <c r="K129" s="70"/>
      <c r="L129" s="166"/>
    </row>
    <row r="130" spans="1:12" s="4" customFormat="1" ht="39" customHeight="1">
      <c r="A130" s="486"/>
      <c r="B130" s="488"/>
      <c r="C130" s="483" t="s">
        <v>192</v>
      </c>
      <c r="D130" s="484"/>
      <c r="E130" s="302" t="str">
        <f>+C130</f>
        <v>Có 01 công trình xanh đã được cấp giấy chứng nhận</v>
      </c>
      <c r="F130" s="46">
        <v>0.75</v>
      </c>
      <c r="G130" s="489"/>
      <c r="H130" s="490"/>
      <c r="I130" s="478"/>
      <c r="J130" s="482"/>
      <c r="K130" s="70"/>
      <c r="L130" s="166"/>
    </row>
    <row r="131" spans="1:12" s="4" customFormat="1" ht="18.75">
      <c r="A131" s="485" t="s">
        <v>194</v>
      </c>
      <c r="B131" s="487" t="s">
        <v>193</v>
      </c>
      <c r="C131" s="313" t="s">
        <v>140</v>
      </c>
      <c r="D131" s="49" t="str">
        <f>+C131</f>
        <v>≥2</v>
      </c>
      <c r="E131" s="49">
        <v>2</v>
      </c>
      <c r="F131" s="47">
        <v>1</v>
      </c>
      <c r="G131" s="489" t="s">
        <v>551</v>
      </c>
      <c r="H131" s="490">
        <v>0</v>
      </c>
      <c r="I131" s="478" t="str">
        <f t="shared" si="5"/>
        <v>Không đạt</v>
      </c>
      <c r="J131" s="481"/>
      <c r="K131" s="70"/>
      <c r="L131" s="166"/>
    </row>
    <row r="132" spans="1:12" s="4" customFormat="1" ht="18.75">
      <c r="A132" s="486"/>
      <c r="B132" s="488"/>
      <c r="C132" s="313">
        <v>1</v>
      </c>
      <c r="D132" s="111">
        <v>1</v>
      </c>
      <c r="E132" s="111">
        <f>+C132</f>
        <v>1</v>
      </c>
      <c r="F132" s="46">
        <v>0.75</v>
      </c>
      <c r="G132" s="489"/>
      <c r="H132" s="490"/>
      <c r="I132" s="478"/>
      <c r="J132" s="482"/>
      <c r="K132" s="70"/>
      <c r="L132" s="166"/>
    </row>
    <row r="133" spans="1:12" s="4" customFormat="1" ht="18.75">
      <c r="A133" s="472" t="s">
        <v>113</v>
      </c>
      <c r="B133" s="474" t="s">
        <v>111</v>
      </c>
      <c r="C133" s="24"/>
      <c r="D133" s="24"/>
      <c r="E133" s="24"/>
      <c r="F133" s="319">
        <v>10</v>
      </c>
      <c r="G133" s="476" t="s">
        <v>443</v>
      </c>
      <c r="H133" s="477">
        <v>10</v>
      </c>
      <c r="I133" s="478" t="str">
        <f t="shared" si="5"/>
        <v>Tối đa</v>
      </c>
      <c r="J133" s="110"/>
      <c r="K133" s="70"/>
      <c r="L133" s="72"/>
    </row>
    <row r="134" spans="1:12" s="4" customFormat="1" ht="18.75">
      <c r="A134" s="473"/>
      <c r="B134" s="475"/>
      <c r="C134" s="24"/>
      <c r="D134" s="24"/>
      <c r="E134" s="24"/>
      <c r="F134" s="320">
        <f>8*0.75+1*2+1.5</f>
        <v>9.5</v>
      </c>
      <c r="G134" s="476"/>
      <c r="H134" s="477"/>
      <c r="I134" s="478"/>
      <c r="J134" s="110"/>
      <c r="K134" s="70"/>
      <c r="L134" s="72"/>
    </row>
    <row r="135" spans="1:12" ht="18.75">
      <c r="A135" s="321"/>
      <c r="B135" s="321" t="s">
        <v>31</v>
      </c>
      <c r="C135" s="479"/>
      <c r="D135" s="480"/>
      <c r="E135" s="297"/>
      <c r="F135" s="43" t="s">
        <v>100</v>
      </c>
      <c r="G135" s="322"/>
      <c r="H135" s="323">
        <f>H7+H25+H28+H33+H36+H133</f>
        <v>93.71000000000001</v>
      </c>
      <c r="I135" s="321"/>
      <c r="J135" s="277"/>
      <c r="K135" s="70"/>
      <c r="L135" s="72"/>
    </row>
    <row r="136" spans="1:9" ht="18.75">
      <c r="A136" s="5"/>
      <c r="B136" s="5"/>
      <c r="C136" s="5"/>
      <c r="D136" s="5"/>
      <c r="E136" s="5"/>
      <c r="F136" s="138"/>
      <c r="G136" s="5"/>
      <c r="H136" s="5"/>
      <c r="I136" s="6"/>
    </row>
    <row r="137" spans="1:12" s="9" customFormat="1" ht="18.75" customHeight="1">
      <c r="A137" s="5"/>
      <c r="B137" s="467" t="s">
        <v>195</v>
      </c>
      <c r="C137" s="467"/>
      <c r="D137" s="467"/>
      <c r="E137" s="467"/>
      <c r="F137" s="467"/>
      <c r="G137" s="467"/>
      <c r="H137" s="467"/>
      <c r="I137" s="467"/>
      <c r="J137" s="281"/>
      <c r="K137" s="160"/>
      <c r="L137" s="161"/>
    </row>
    <row r="138" spans="1:9" ht="51.75" customHeight="1">
      <c r="A138" s="16"/>
      <c r="B138" s="467" t="s">
        <v>440</v>
      </c>
      <c r="C138" s="467"/>
      <c r="D138" s="467"/>
      <c r="E138" s="467"/>
      <c r="F138" s="467"/>
      <c r="G138" s="467"/>
      <c r="H138" s="467"/>
      <c r="I138" s="467"/>
    </row>
    <row r="139" spans="1:12" s="10" customFormat="1" ht="18.75">
      <c r="A139" s="17"/>
      <c r="B139" s="468"/>
      <c r="C139" s="469"/>
      <c r="D139" s="469"/>
      <c r="E139" s="469"/>
      <c r="F139" s="469"/>
      <c r="G139" s="469"/>
      <c r="H139" s="469"/>
      <c r="I139" s="469"/>
      <c r="J139" s="282"/>
      <c r="K139" s="160"/>
      <c r="L139" s="161"/>
    </row>
    <row r="140" spans="1:12" s="17" customFormat="1" ht="18.75">
      <c r="A140" s="18"/>
      <c r="B140" s="19"/>
      <c r="C140" s="470" t="s">
        <v>446</v>
      </c>
      <c r="D140" s="470"/>
      <c r="E140" s="470"/>
      <c r="F140" s="470"/>
      <c r="G140" s="470"/>
      <c r="H140" s="470"/>
      <c r="I140" s="470"/>
      <c r="J140" s="283"/>
      <c r="K140" s="160"/>
      <c r="L140" s="161"/>
    </row>
    <row r="141" spans="1:12" s="17" customFormat="1" ht="6" customHeight="1">
      <c r="A141" s="18"/>
      <c r="B141" s="19"/>
      <c r="C141" s="470"/>
      <c r="D141" s="470"/>
      <c r="E141" s="470"/>
      <c r="F141" s="470"/>
      <c r="G141" s="470"/>
      <c r="H141" s="470"/>
      <c r="I141" s="470"/>
      <c r="J141" s="283"/>
      <c r="K141" s="160"/>
      <c r="L141" s="161"/>
    </row>
    <row r="142" spans="1:12" s="17" customFormat="1" ht="18.75">
      <c r="A142" s="18"/>
      <c r="B142" s="19"/>
      <c r="C142" s="375" t="s">
        <v>442</v>
      </c>
      <c r="D142" s="375" t="s">
        <v>439</v>
      </c>
      <c r="E142" s="375"/>
      <c r="F142" s="375" t="s">
        <v>566</v>
      </c>
      <c r="G142" s="375" t="s">
        <v>444</v>
      </c>
      <c r="H142" s="471" t="s">
        <v>447</v>
      </c>
      <c r="I142" s="471"/>
      <c r="J142" s="283"/>
      <c r="K142" s="160"/>
      <c r="L142" s="161"/>
    </row>
    <row r="143" spans="1:12" s="17" customFormat="1" ht="18.75">
      <c r="A143" s="18"/>
      <c r="B143" s="19"/>
      <c r="C143" s="375">
        <f>COUNTIF($I$8:$I$134,"không đạt")</f>
        <v>7</v>
      </c>
      <c r="D143" s="375">
        <f>COUNTIF($I$8:$I$134,"Tối thiểu")</f>
        <v>10</v>
      </c>
      <c r="E143" s="375"/>
      <c r="F143" s="375">
        <f>COUNTIF($I$8:$I$134,"Trung bình")</f>
        <v>8</v>
      </c>
      <c r="G143" s="375">
        <f>COUNTIF($I$8:$I$134,"Tối đa")</f>
        <v>30</v>
      </c>
      <c r="H143" s="471">
        <f>SUM(C143:G143)</f>
        <v>55</v>
      </c>
      <c r="I143" s="471"/>
      <c r="J143" s="283"/>
      <c r="K143" s="160"/>
      <c r="L143" s="161"/>
    </row>
    <row r="144" spans="2:12" s="18" customFormat="1" ht="18.75">
      <c r="B144" s="19"/>
      <c r="D144" s="20"/>
      <c r="E144" s="20"/>
      <c r="F144" s="139"/>
      <c r="G144" s="20"/>
      <c r="H144" s="21"/>
      <c r="I144" s="137"/>
      <c r="J144" s="283"/>
      <c r="K144" s="160"/>
      <c r="L144" s="161"/>
    </row>
    <row r="145" spans="2:12" s="18" customFormat="1" ht="18.75">
      <c r="B145" s="19"/>
      <c r="D145" s="20"/>
      <c r="E145" s="20"/>
      <c r="F145" s="139"/>
      <c r="G145" s="20"/>
      <c r="H145" s="21"/>
      <c r="I145" s="137"/>
      <c r="J145" s="283"/>
      <c r="K145" s="160"/>
      <c r="L145" s="161"/>
    </row>
    <row r="146" spans="2:12" s="18" customFormat="1" ht="18.75">
      <c r="B146" s="19"/>
      <c r="D146" s="20"/>
      <c r="E146" s="20"/>
      <c r="F146" s="139"/>
      <c r="G146" s="20"/>
      <c r="H146" s="21"/>
      <c r="I146" s="137"/>
      <c r="J146" s="283"/>
      <c r="K146" s="160"/>
      <c r="L146" s="161"/>
    </row>
    <row r="147" spans="2:12" s="18" customFormat="1" ht="18.75">
      <c r="B147" s="19"/>
      <c r="D147" s="20"/>
      <c r="E147" s="20"/>
      <c r="F147" s="139"/>
      <c r="G147" s="20"/>
      <c r="H147" s="21"/>
      <c r="I147" s="137"/>
      <c r="J147" s="283"/>
      <c r="K147" s="160"/>
      <c r="L147" s="161"/>
    </row>
    <row r="148" spans="2:12" s="18" customFormat="1" ht="18.75">
      <c r="B148" s="19"/>
      <c r="D148" s="20"/>
      <c r="E148" s="20"/>
      <c r="F148" s="139"/>
      <c r="G148" s="20"/>
      <c r="H148" s="21"/>
      <c r="I148" s="137"/>
      <c r="J148" s="283"/>
      <c r="K148" s="160"/>
      <c r="L148" s="161"/>
    </row>
    <row r="149" spans="1:12" s="18" customFormat="1" ht="18.75">
      <c r="A149"/>
      <c r="B149" s="3"/>
      <c r="C149"/>
      <c r="D149" s="1"/>
      <c r="E149" s="1"/>
      <c r="F149" s="139"/>
      <c r="G149" s="1"/>
      <c r="H149" s="2"/>
      <c r="I149" s="137"/>
      <c r="J149" s="283"/>
      <c r="K149" s="160"/>
      <c r="L149" s="161"/>
    </row>
    <row r="150" spans="1:12" s="18" customFormat="1" ht="18.75">
      <c r="A150"/>
      <c r="B150" s="3"/>
      <c r="C150"/>
      <c r="D150" s="1"/>
      <c r="E150" s="1"/>
      <c r="F150" s="139"/>
      <c r="G150" s="1"/>
      <c r="H150" s="2"/>
      <c r="I150" s="137"/>
      <c r="J150" s="283"/>
      <c r="K150" s="160"/>
      <c r="L150" s="161"/>
    </row>
    <row r="151" spans="1:12" s="18" customFormat="1" ht="18.75">
      <c r="A151"/>
      <c r="B151" s="3"/>
      <c r="C151"/>
      <c r="D151" s="1"/>
      <c r="E151" s="1"/>
      <c r="F151" s="139"/>
      <c r="G151" s="1"/>
      <c r="H151" s="2"/>
      <c r="I151" s="137"/>
      <c r="J151" s="283"/>
      <c r="K151" s="160"/>
      <c r="L151" s="161"/>
    </row>
    <row r="152" spans="1:12" s="18" customFormat="1" ht="18.75">
      <c r="A152"/>
      <c r="B152" s="3"/>
      <c r="C152"/>
      <c r="D152" s="1"/>
      <c r="E152" s="1"/>
      <c r="F152" s="139"/>
      <c r="G152" s="1"/>
      <c r="H152" s="2"/>
      <c r="I152" s="137"/>
      <c r="J152" s="283"/>
      <c r="K152" s="160"/>
      <c r="L152" s="161"/>
    </row>
    <row r="153" spans="1:12" s="18" customFormat="1" ht="18.75">
      <c r="A153"/>
      <c r="B153" s="3"/>
      <c r="C153"/>
      <c r="D153" s="1"/>
      <c r="E153" s="1"/>
      <c r="F153" s="139"/>
      <c r="G153" s="1"/>
      <c r="H153" s="2"/>
      <c r="I153" s="137"/>
      <c r="J153" s="283"/>
      <c r="K153" s="160"/>
      <c r="L153" s="161"/>
    </row>
    <row r="154" spans="1:12" s="18" customFormat="1" ht="18.75">
      <c r="A154"/>
      <c r="B154" s="3"/>
      <c r="C154"/>
      <c r="D154" s="1"/>
      <c r="E154" s="1"/>
      <c r="F154" s="139"/>
      <c r="G154" s="1"/>
      <c r="H154" s="2"/>
      <c r="I154" s="137"/>
      <c r="J154" s="283"/>
      <c r="K154" s="160"/>
      <c r="L154" s="161"/>
    </row>
    <row r="155" spans="1:12" s="18" customFormat="1" ht="18.75">
      <c r="A155"/>
      <c r="B155" s="3"/>
      <c r="C155"/>
      <c r="D155" s="1"/>
      <c r="E155" s="1"/>
      <c r="F155" s="139"/>
      <c r="G155" s="1"/>
      <c r="H155" s="2"/>
      <c r="I155" s="137"/>
      <c r="J155" s="283"/>
      <c r="K155" s="160"/>
      <c r="L155" s="161"/>
    </row>
    <row r="156" spans="1:12" s="18" customFormat="1" ht="18.75">
      <c r="A156"/>
      <c r="B156" s="3"/>
      <c r="C156"/>
      <c r="D156" s="1"/>
      <c r="E156" s="1"/>
      <c r="F156" s="139"/>
      <c r="G156" s="1"/>
      <c r="H156" s="2"/>
      <c r="I156" s="137"/>
      <c r="J156" s="283"/>
      <c r="K156" s="160"/>
      <c r="L156" s="161"/>
    </row>
    <row r="157" spans="1:12" s="18" customFormat="1" ht="18.75">
      <c r="A157"/>
      <c r="B157" s="3"/>
      <c r="C157"/>
      <c r="D157" s="1"/>
      <c r="E157" s="1"/>
      <c r="F157" s="139"/>
      <c r="G157" s="1"/>
      <c r="H157" s="2"/>
      <c r="I157" s="137"/>
      <c r="J157" s="283"/>
      <c r="K157" s="160"/>
      <c r="L157" s="161"/>
    </row>
    <row r="158" spans="1:12" s="18" customFormat="1" ht="18.75">
      <c r="A158"/>
      <c r="B158" s="3"/>
      <c r="C158"/>
      <c r="D158" s="1"/>
      <c r="E158" s="1"/>
      <c r="F158" s="139"/>
      <c r="G158" s="1"/>
      <c r="H158" s="2"/>
      <c r="I158" s="137"/>
      <c r="J158" s="283"/>
      <c r="K158" s="160"/>
      <c r="L158" s="161"/>
    </row>
    <row r="159" spans="1:12" s="18" customFormat="1" ht="18.75">
      <c r="A159"/>
      <c r="B159" s="3"/>
      <c r="C159"/>
      <c r="D159" s="1"/>
      <c r="E159" s="1"/>
      <c r="F159" s="139"/>
      <c r="G159" s="1"/>
      <c r="H159" s="2"/>
      <c r="I159" s="137"/>
      <c r="J159" s="283"/>
      <c r="K159" s="160"/>
      <c r="L159" s="161"/>
    </row>
    <row r="160" spans="1:12" s="18" customFormat="1" ht="18.75">
      <c r="A160"/>
      <c r="B160" s="3"/>
      <c r="C160"/>
      <c r="D160" s="1"/>
      <c r="E160" s="1"/>
      <c r="F160" s="139"/>
      <c r="G160" s="1"/>
      <c r="H160" s="2"/>
      <c r="I160" s="137"/>
      <c r="J160" s="283"/>
      <c r="K160" s="160"/>
      <c r="L160" s="161"/>
    </row>
    <row r="161" spans="1:12" s="18" customFormat="1" ht="18.75">
      <c r="A161"/>
      <c r="B161" s="3"/>
      <c r="C161"/>
      <c r="D161" s="1"/>
      <c r="E161" s="1"/>
      <c r="F161" s="139"/>
      <c r="G161" s="1"/>
      <c r="H161" s="2"/>
      <c r="I161" s="137"/>
      <c r="J161" s="283"/>
      <c r="K161" s="160"/>
      <c r="L161" s="161"/>
    </row>
  </sheetData>
  <sheetProtection/>
  <mergeCells count="385">
    <mergeCell ref="A1:I1"/>
    <mergeCell ref="A2:I2"/>
    <mergeCell ref="K2:L10"/>
    <mergeCell ref="A3:I3"/>
    <mergeCell ref="A4:I4"/>
    <mergeCell ref="A5:A6"/>
    <mergeCell ref="B5:B6"/>
    <mergeCell ref="C5:F5"/>
    <mergeCell ref="G5:I5"/>
    <mergeCell ref="A8:A9"/>
    <mergeCell ref="B8:B9"/>
    <mergeCell ref="C8:D8"/>
    <mergeCell ref="G8:G9"/>
    <mergeCell ref="H8:H9"/>
    <mergeCell ref="I8:I9"/>
    <mergeCell ref="C9:D9"/>
    <mergeCell ref="C10:D10"/>
    <mergeCell ref="A11:A12"/>
    <mergeCell ref="B11:B12"/>
    <mergeCell ref="C11:D11"/>
    <mergeCell ref="G11:G12"/>
    <mergeCell ref="H11:H12"/>
    <mergeCell ref="I11:I12"/>
    <mergeCell ref="J11:J12"/>
    <mergeCell ref="K11:K12"/>
    <mergeCell ref="L11:L12"/>
    <mergeCell ref="C12:D12"/>
    <mergeCell ref="A13:A14"/>
    <mergeCell ref="B13:B14"/>
    <mergeCell ref="G13:G14"/>
    <mergeCell ref="H13:H14"/>
    <mergeCell ref="I13:I14"/>
    <mergeCell ref="J13:J14"/>
    <mergeCell ref="K13:K18"/>
    <mergeCell ref="L13:L18"/>
    <mergeCell ref="A15:A16"/>
    <mergeCell ref="B15:B16"/>
    <mergeCell ref="C15:D15"/>
    <mergeCell ref="G15:G16"/>
    <mergeCell ref="H15:H16"/>
    <mergeCell ref="I15:I16"/>
    <mergeCell ref="J15:J16"/>
    <mergeCell ref="C16:D16"/>
    <mergeCell ref="A17:A18"/>
    <mergeCell ref="B17:B18"/>
    <mergeCell ref="G17:G18"/>
    <mergeCell ref="H17:H18"/>
    <mergeCell ref="I17:I18"/>
    <mergeCell ref="J17:J18"/>
    <mergeCell ref="A19:A20"/>
    <mergeCell ref="B19:B20"/>
    <mergeCell ref="G19:G20"/>
    <mergeCell ref="H19:H20"/>
    <mergeCell ref="I19:I20"/>
    <mergeCell ref="A21:A22"/>
    <mergeCell ref="B21:B22"/>
    <mergeCell ref="G21:G22"/>
    <mergeCell ref="H21:H22"/>
    <mergeCell ref="I21:I22"/>
    <mergeCell ref="J21:J22"/>
    <mergeCell ref="K21:K22"/>
    <mergeCell ref="L21:L22"/>
    <mergeCell ref="A23:A24"/>
    <mergeCell ref="B23:B24"/>
    <mergeCell ref="G23:G24"/>
    <mergeCell ref="H23:H24"/>
    <mergeCell ref="I23:I24"/>
    <mergeCell ref="J23:J24"/>
    <mergeCell ref="K23:K24"/>
    <mergeCell ref="L23:L24"/>
    <mergeCell ref="G26:G27"/>
    <mergeCell ref="H26:H27"/>
    <mergeCell ref="J26:J27"/>
    <mergeCell ref="A29:A30"/>
    <mergeCell ref="B29:B30"/>
    <mergeCell ref="G29:G30"/>
    <mergeCell ref="H29:H30"/>
    <mergeCell ref="I29:I30"/>
    <mergeCell ref="J29:J30"/>
    <mergeCell ref="K29:K30"/>
    <mergeCell ref="L29:L30"/>
    <mergeCell ref="A31:A32"/>
    <mergeCell ref="B31:B32"/>
    <mergeCell ref="G31:G32"/>
    <mergeCell ref="H31:H32"/>
    <mergeCell ref="I31:I32"/>
    <mergeCell ref="J31:J32"/>
    <mergeCell ref="K31:K32"/>
    <mergeCell ref="L31:L32"/>
    <mergeCell ref="G34:G35"/>
    <mergeCell ref="H34:H35"/>
    <mergeCell ref="J34:J35"/>
    <mergeCell ref="K34:K35"/>
    <mergeCell ref="L34:L35"/>
    <mergeCell ref="A40:A41"/>
    <mergeCell ref="B40:B41"/>
    <mergeCell ref="G40:G41"/>
    <mergeCell ref="H40:H41"/>
    <mergeCell ref="I40:I41"/>
    <mergeCell ref="J40:J41"/>
    <mergeCell ref="K40:K43"/>
    <mergeCell ref="L40:L41"/>
    <mergeCell ref="A42:A43"/>
    <mergeCell ref="B42:B43"/>
    <mergeCell ref="G42:G43"/>
    <mergeCell ref="H42:H43"/>
    <mergeCell ref="I42:I43"/>
    <mergeCell ref="J42:J43"/>
    <mergeCell ref="L42:L43"/>
    <mergeCell ref="A45:A46"/>
    <mergeCell ref="B45:B46"/>
    <mergeCell ref="G45:G46"/>
    <mergeCell ref="H45:H46"/>
    <mergeCell ref="I45:I46"/>
    <mergeCell ref="J45:J46"/>
    <mergeCell ref="K45:K50"/>
    <mergeCell ref="L45:L50"/>
    <mergeCell ref="A47:A48"/>
    <mergeCell ref="B47:B48"/>
    <mergeCell ref="G47:G48"/>
    <mergeCell ref="H47:H48"/>
    <mergeCell ref="I47:I48"/>
    <mergeCell ref="J47:J48"/>
    <mergeCell ref="A49:A50"/>
    <mergeCell ref="B49:B50"/>
    <mergeCell ref="G49:G50"/>
    <mergeCell ref="H49:H50"/>
    <mergeCell ref="I49:I50"/>
    <mergeCell ref="J49:J50"/>
    <mergeCell ref="A51:A52"/>
    <mergeCell ref="B51:B52"/>
    <mergeCell ref="G51:G52"/>
    <mergeCell ref="H51:H52"/>
    <mergeCell ref="I51:I52"/>
    <mergeCell ref="J51:J52"/>
    <mergeCell ref="A53:A54"/>
    <mergeCell ref="B53:B54"/>
    <mergeCell ref="G53:G54"/>
    <mergeCell ref="H53:H54"/>
    <mergeCell ref="I53:I54"/>
    <mergeCell ref="J53:J54"/>
    <mergeCell ref="G55:G56"/>
    <mergeCell ref="H55:H56"/>
    <mergeCell ref="I55:I56"/>
    <mergeCell ref="J55:J56"/>
    <mergeCell ref="K51:K52"/>
    <mergeCell ref="L51:L52"/>
    <mergeCell ref="K53:K54"/>
    <mergeCell ref="L53:L54"/>
    <mergeCell ref="K55:K58"/>
    <mergeCell ref="L55:L58"/>
    <mergeCell ref="A57:A58"/>
    <mergeCell ref="B57:B58"/>
    <mergeCell ref="G57:G58"/>
    <mergeCell ref="H57:H58"/>
    <mergeCell ref="I57:I58"/>
    <mergeCell ref="J57:J58"/>
    <mergeCell ref="A55:A56"/>
    <mergeCell ref="B55:B56"/>
    <mergeCell ref="A59:A60"/>
    <mergeCell ref="B59:B60"/>
    <mergeCell ref="G59:G60"/>
    <mergeCell ref="H59:H60"/>
    <mergeCell ref="I59:I60"/>
    <mergeCell ref="J59:J60"/>
    <mergeCell ref="K59:K60"/>
    <mergeCell ref="L59:L60"/>
    <mergeCell ref="A63:A64"/>
    <mergeCell ref="B63:B64"/>
    <mergeCell ref="C63:D63"/>
    <mergeCell ref="G63:G64"/>
    <mergeCell ref="H63:H64"/>
    <mergeCell ref="I63:I64"/>
    <mergeCell ref="J63:J64"/>
    <mergeCell ref="K63:K70"/>
    <mergeCell ref="L63:L70"/>
    <mergeCell ref="C64:D64"/>
    <mergeCell ref="A65:A66"/>
    <mergeCell ref="B65:B66"/>
    <mergeCell ref="G65:G66"/>
    <mergeCell ref="H65:H66"/>
    <mergeCell ref="I65:I66"/>
    <mergeCell ref="J65:J66"/>
    <mergeCell ref="A67:A68"/>
    <mergeCell ref="B67:B68"/>
    <mergeCell ref="G67:G68"/>
    <mergeCell ref="H67:H68"/>
    <mergeCell ref="I67:I68"/>
    <mergeCell ref="J67:J68"/>
    <mergeCell ref="A69:A70"/>
    <mergeCell ref="B69:B70"/>
    <mergeCell ref="G69:G70"/>
    <mergeCell ref="H69:H70"/>
    <mergeCell ref="I69:I70"/>
    <mergeCell ref="J69:J70"/>
    <mergeCell ref="A71:A72"/>
    <mergeCell ref="B71:B72"/>
    <mergeCell ref="G71:G72"/>
    <mergeCell ref="H71:H72"/>
    <mergeCell ref="I71:I72"/>
    <mergeCell ref="J71:J72"/>
    <mergeCell ref="A74:A75"/>
    <mergeCell ref="B74:B75"/>
    <mergeCell ref="G74:G75"/>
    <mergeCell ref="H74:H75"/>
    <mergeCell ref="I74:I75"/>
    <mergeCell ref="J74:J75"/>
    <mergeCell ref="G76:G77"/>
    <mergeCell ref="H76:H77"/>
    <mergeCell ref="I76:I77"/>
    <mergeCell ref="J76:J77"/>
    <mergeCell ref="K71:K72"/>
    <mergeCell ref="L71:L72"/>
    <mergeCell ref="K74:K75"/>
    <mergeCell ref="L74:L75"/>
    <mergeCell ref="K76:K79"/>
    <mergeCell ref="L76:L79"/>
    <mergeCell ref="A78:A79"/>
    <mergeCell ref="B78:B79"/>
    <mergeCell ref="G78:G79"/>
    <mergeCell ref="H78:H79"/>
    <mergeCell ref="I78:I79"/>
    <mergeCell ref="J78:J79"/>
    <mergeCell ref="A76:A77"/>
    <mergeCell ref="B76:B77"/>
    <mergeCell ref="A81:A82"/>
    <mergeCell ref="B81:B82"/>
    <mergeCell ref="G81:G82"/>
    <mergeCell ref="H81:H82"/>
    <mergeCell ref="I81:I82"/>
    <mergeCell ref="J81:J82"/>
    <mergeCell ref="A83:A84"/>
    <mergeCell ref="B83:B84"/>
    <mergeCell ref="G83:G84"/>
    <mergeCell ref="H83:H84"/>
    <mergeCell ref="I83:I84"/>
    <mergeCell ref="J83:J84"/>
    <mergeCell ref="G86:G87"/>
    <mergeCell ref="H86:H87"/>
    <mergeCell ref="I86:I87"/>
    <mergeCell ref="J86:J87"/>
    <mergeCell ref="K81:K84"/>
    <mergeCell ref="L81:L84"/>
    <mergeCell ref="K86:K89"/>
    <mergeCell ref="L86:L89"/>
    <mergeCell ref="A88:A89"/>
    <mergeCell ref="B88:B89"/>
    <mergeCell ref="G88:G89"/>
    <mergeCell ref="H88:H89"/>
    <mergeCell ref="I88:I89"/>
    <mergeCell ref="J88:J89"/>
    <mergeCell ref="A86:A87"/>
    <mergeCell ref="B86:B87"/>
    <mergeCell ref="J94:J95"/>
    <mergeCell ref="K94:K95"/>
    <mergeCell ref="L94:L97"/>
    <mergeCell ref="A90:A91"/>
    <mergeCell ref="B90:B91"/>
    <mergeCell ref="G90:G91"/>
    <mergeCell ref="H90:H91"/>
    <mergeCell ref="I90:I91"/>
    <mergeCell ref="J90:J91"/>
    <mergeCell ref="H96:H97"/>
    <mergeCell ref="I96:I97"/>
    <mergeCell ref="J96:J97"/>
    <mergeCell ref="K90:K91"/>
    <mergeCell ref="L90:L91"/>
    <mergeCell ref="A94:A95"/>
    <mergeCell ref="B94:B95"/>
    <mergeCell ref="G94:G95"/>
    <mergeCell ref="H94:H95"/>
    <mergeCell ref="I94:I95"/>
    <mergeCell ref="K96:K97"/>
    <mergeCell ref="A99:A100"/>
    <mergeCell ref="B99:B100"/>
    <mergeCell ref="G99:G100"/>
    <mergeCell ref="H99:H100"/>
    <mergeCell ref="I99:I100"/>
    <mergeCell ref="J99:J100"/>
    <mergeCell ref="A96:A97"/>
    <mergeCell ref="B96:B97"/>
    <mergeCell ref="G96:G97"/>
    <mergeCell ref="A101:A102"/>
    <mergeCell ref="B101:B102"/>
    <mergeCell ref="G101:G102"/>
    <mergeCell ref="H101:H102"/>
    <mergeCell ref="I101:I102"/>
    <mergeCell ref="J101:J102"/>
    <mergeCell ref="K101:K106"/>
    <mergeCell ref="L101:L106"/>
    <mergeCell ref="A103:A104"/>
    <mergeCell ref="B103:B104"/>
    <mergeCell ref="G103:G104"/>
    <mergeCell ref="H103:H104"/>
    <mergeCell ref="I103:I104"/>
    <mergeCell ref="J103:J104"/>
    <mergeCell ref="A105:A106"/>
    <mergeCell ref="B105:B106"/>
    <mergeCell ref="G105:G106"/>
    <mergeCell ref="H105:H106"/>
    <mergeCell ref="I105:I106"/>
    <mergeCell ref="J105:J106"/>
    <mergeCell ref="C109:D109"/>
    <mergeCell ref="A110:A111"/>
    <mergeCell ref="B110:B111"/>
    <mergeCell ref="G110:G111"/>
    <mergeCell ref="H110:H111"/>
    <mergeCell ref="I110:I111"/>
    <mergeCell ref="J110:J111"/>
    <mergeCell ref="K110:K111"/>
    <mergeCell ref="L110:L111"/>
    <mergeCell ref="A114:A115"/>
    <mergeCell ref="B114:B115"/>
    <mergeCell ref="G114:G115"/>
    <mergeCell ref="H114:H115"/>
    <mergeCell ref="I114:I115"/>
    <mergeCell ref="J114:J115"/>
    <mergeCell ref="K114:K117"/>
    <mergeCell ref="L114:L117"/>
    <mergeCell ref="A116:A117"/>
    <mergeCell ref="B116:B117"/>
    <mergeCell ref="G116:G117"/>
    <mergeCell ref="H116:H117"/>
    <mergeCell ref="I116:I117"/>
    <mergeCell ref="J116:J117"/>
    <mergeCell ref="A119:A120"/>
    <mergeCell ref="B119:B120"/>
    <mergeCell ref="G119:G120"/>
    <mergeCell ref="H119:H120"/>
    <mergeCell ref="I119:I120"/>
    <mergeCell ref="J119:J120"/>
    <mergeCell ref="A121:A122"/>
    <mergeCell ref="B121:B122"/>
    <mergeCell ref="G121:G122"/>
    <mergeCell ref="H121:H122"/>
    <mergeCell ref="I121:I122"/>
    <mergeCell ref="J121:J122"/>
    <mergeCell ref="A123:A124"/>
    <mergeCell ref="B123:B124"/>
    <mergeCell ref="G123:G124"/>
    <mergeCell ref="H123:H124"/>
    <mergeCell ref="I123:I124"/>
    <mergeCell ref="J123:J124"/>
    <mergeCell ref="A125:A126"/>
    <mergeCell ref="B125:B126"/>
    <mergeCell ref="G125:G126"/>
    <mergeCell ref="H125:H126"/>
    <mergeCell ref="I125:I126"/>
    <mergeCell ref="J125:J126"/>
    <mergeCell ref="A127:A128"/>
    <mergeCell ref="B127:B128"/>
    <mergeCell ref="C127:D127"/>
    <mergeCell ref="G127:G128"/>
    <mergeCell ref="H127:H128"/>
    <mergeCell ref="I127:I128"/>
    <mergeCell ref="C128:D128"/>
    <mergeCell ref="C129:D129"/>
    <mergeCell ref="G129:G130"/>
    <mergeCell ref="H129:H130"/>
    <mergeCell ref="I129:I130"/>
    <mergeCell ref="K125:K128"/>
    <mergeCell ref="L125:L128"/>
    <mergeCell ref="J127:J128"/>
    <mergeCell ref="J129:J130"/>
    <mergeCell ref="C130:D130"/>
    <mergeCell ref="A131:A132"/>
    <mergeCell ref="B131:B132"/>
    <mergeCell ref="G131:G132"/>
    <mergeCell ref="H131:H132"/>
    <mergeCell ref="I131:I132"/>
    <mergeCell ref="J131:J132"/>
    <mergeCell ref="A129:A130"/>
    <mergeCell ref="B129:B130"/>
    <mergeCell ref="A133:A134"/>
    <mergeCell ref="B133:B134"/>
    <mergeCell ref="G133:G134"/>
    <mergeCell ref="H133:H134"/>
    <mergeCell ref="I133:I134"/>
    <mergeCell ref="C135:D135"/>
    <mergeCell ref="B137:I137"/>
    <mergeCell ref="B138:I138"/>
    <mergeCell ref="B139:I139"/>
    <mergeCell ref="C140:I141"/>
    <mergeCell ref="H142:I142"/>
    <mergeCell ref="H143:I143"/>
  </mergeCells>
  <hyperlinks>
    <hyperlink ref="K11:K12" location="'Biểu 1 Thu chi ngân sách'!A1" display="Biểu 1"/>
    <hyperlink ref="K13:K18" location="'Biểu 2 Chi tiêu KTXH'!A1" display="Biểu 2"/>
    <hyperlink ref="K21:K22" location="'Biểu 3 Hộ nghèo'!A1" display="Biểu 3"/>
    <hyperlink ref="K23:K24" location="'Biểu 2 Chi tiêu KTXH'!A1" display="'Biểu 2 Chi tiêu KTXH'!A1"/>
    <hyperlink ref="K26" location="'Biểu 2 Chi tiêu KTXH'!A1" display="Biểu 2"/>
    <hyperlink ref="K27" location="'Biểu 4 Dân số tạm trú'!A1" display="Biểu 4"/>
    <hyperlink ref="K40:K43" location="'Biểu 5 Nhà ở'!A1" display="Biểu 5"/>
    <hyperlink ref="K45:K50" location="'Biểu 6 Cơ cấu SDD'!A1" display="Biểu 6"/>
    <hyperlink ref="K51:K52" location="'Biểu 7 Cơ sở y tế'!A1" display="Biểu 7"/>
    <hyperlink ref="K53:K54" location="'Biểu 8 Cơ sở giáo dục'!A1" display="Biểu 8"/>
    <hyperlink ref="K55:K58" location="'Biểu 9 Ctrinh văn hóa'!A1" display="Biểu 9"/>
    <hyperlink ref="K59:K60" location="'Biểu 10 Ctrinh TMDV'!A1" display="Biểu 10"/>
    <hyperlink ref="K63:K70" location="'Biểu 11 Giao thông'!A1" display="Biểu 11"/>
    <hyperlink ref="K71:K72" location="'Biểu 12 Vận tải công cộng'!A1" display="Biểu 12"/>
    <hyperlink ref="K74:K75" location="'Biểu 13 Cấp điện'!A1" display="Biểu 13"/>
    <hyperlink ref="K76:K79" location="'Biểu 11 Giao thông'!A1" display="Biểu 11"/>
    <hyperlink ref="K81:K84" location="'Biểu 14 Cấp nước'!A1" display="Biểu 14"/>
    <hyperlink ref="K86:K89" location="'Biểu 15 Viễn thông'!A1" display="Biểu 15"/>
    <hyperlink ref="K90:K91" location="'Biểu 16 DV công trực tuyến'!A1" display="BIỂU 16"/>
    <hyperlink ref="K94:K95" location="'Biểu 11 Giao thông'!A1" display="'Biểu 11 Giao thông'!A1"/>
    <hyperlink ref="K96:K97" location="'Biểu 17 Chống ngập úng'!A1" display="Biểu 17"/>
    <hyperlink ref="K112" location="'Biểu 19 Nghĩa trang-Cây xanhĐT'!A1" display="Biểu 19"/>
    <hyperlink ref="K114:K117" location="'Biểu 19 Nghĩa trang-Cây xanhĐT'!A1" display="'Biểu 19 Nghĩa trang-Cây xanhĐT'!A1"/>
    <hyperlink ref="K125:K128" location="'Biểu 20 KGCC-Kiến trúc TB'!A1" display="Biểu 20"/>
    <hyperlink ref="K34:K35" location="'Biểu 2 Chi tiêu KTXH'!A1" display="'Biểu 2 Chi tiêu KTXH'!A1"/>
  </hyperlinks>
  <printOptions/>
  <pageMargins left="0.2755905511811024" right="0" top="0.5118110236220472" bottom="0.35433070866141736" header="0.31496062992125984" footer="0.1968503937007874"/>
  <pageSetup fitToHeight="0" fitToWidth="1" horizontalDpi="600" verticalDpi="600" orientation="portrait" paperSize="9" scale="67" r:id="rId1"/>
  <headerFooter>
    <oddFooter>&amp;CPHỤ LỤC II - Trang &amp;N</oddFooter>
  </headerFooter>
  <rowBreaks count="2" manualBreakCount="2">
    <brk id="46" max="8" man="1"/>
    <brk id="97" max="8" man="1"/>
  </rowBreaks>
</worksheet>
</file>

<file path=xl/worksheets/sheet24.xml><?xml version="1.0" encoding="utf-8"?>
<worksheet xmlns="http://schemas.openxmlformats.org/spreadsheetml/2006/main" xmlns:r="http://schemas.openxmlformats.org/officeDocument/2006/relationships">
  <sheetPr>
    <tabColor rgb="FF0070C0"/>
    <pageSetUpPr fitToPage="1"/>
  </sheetPr>
  <dimension ref="A1:L161"/>
  <sheetViews>
    <sheetView view="pageBreakPreview" zoomScaleNormal="85" zoomScaleSheetLayoutView="100" workbookViewId="0" topLeftCell="A52">
      <selection activeCell="C112" sqref="C112"/>
    </sheetView>
  </sheetViews>
  <sheetFormatPr defaultColWidth="8.88671875" defaultRowHeight="18.75"/>
  <cols>
    <col min="1" max="1" width="4.99609375" style="0" bestFit="1" customWidth="1"/>
    <col min="2" max="2" width="43.6640625" style="3" customWidth="1"/>
    <col min="3" max="3" width="14.10546875" style="0" customWidth="1"/>
    <col min="4" max="4" width="13.4453125" style="1" customWidth="1"/>
    <col min="5" max="5" width="5.88671875" style="1" hidden="1" customWidth="1"/>
    <col min="6" max="6" width="9.77734375" style="139" customWidth="1"/>
    <col min="7" max="7" width="17.4453125" style="1" customWidth="1"/>
    <col min="8" max="8" width="8.3359375" style="2" customWidth="1"/>
    <col min="9" max="9" width="9.88671875" style="137" customWidth="1"/>
    <col min="10" max="10" width="5.3359375" style="278" customWidth="1"/>
    <col min="11" max="11" width="7.21484375" style="160" customWidth="1"/>
    <col min="12" max="12" width="22.4453125" style="161" customWidth="1"/>
  </cols>
  <sheetData>
    <row r="1" spans="1:9" ht="18.75">
      <c r="A1" s="592" t="s">
        <v>577</v>
      </c>
      <c r="B1" s="592"/>
      <c r="C1" s="592"/>
      <c r="D1" s="592"/>
      <c r="E1" s="592"/>
      <c r="F1" s="592"/>
      <c r="G1" s="592"/>
      <c r="H1" s="592"/>
      <c r="I1" s="592"/>
    </row>
    <row r="2" spans="1:12" s="15" customFormat="1" ht="81" customHeight="1">
      <c r="A2" s="593" t="s">
        <v>586</v>
      </c>
      <c r="B2" s="593"/>
      <c r="C2" s="593"/>
      <c r="D2" s="593"/>
      <c r="E2" s="593"/>
      <c r="F2" s="593"/>
      <c r="G2" s="593"/>
      <c r="H2" s="593"/>
      <c r="I2" s="593"/>
      <c r="J2" s="279"/>
      <c r="K2" s="548" t="s">
        <v>452</v>
      </c>
      <c r="L2" s="464"/>
    </row>
    <row r="3" spans="1:12" ht="18.75">
      <c r="A3" s="594"/>
      <c r="B3" s="594"/>
      <c r="C3" s="594"/>
      <c r="D3" s="594"/>
      <c r="E3" s="594"/>
      <c r="F3" s="594"/>
      <c r="G3" s="594"/>
      <c r="H3" s="594"/>
      <c r="I3" s="594"/>
      <c r="K3" s="464"/>
      <c r="L3" s="464"/>
    </row>
    <row r="4" spans="1:12" ht="6.75" customHeight="1">
      <c r="A4" s="595"/>
      <c r="B4" s="595"/>
      <c r="C4" s="595"/>
      <c r="D4" s="595"/>
      <c r="E4" s="595"/>
      <c r="F4" s="595"/>
      <c r="G4" s="595"/>
      <c r="H4" s="595"/>
      <c r="I4" s="595"/>
      <c r="K4" s="464"/>
      <c r="L4" s="464"/>
    </row>
    <row r="5" spans="1:12" ht="18.75" customHeight="1">
      <c r="A5" s="472" t="s">
        <v>9</v>
      </c>
      <c r="B5" s="472" t="s">
        <v>0</v>
      </c>
      <c r="C5" s="551" t="s">
        <v>104</v>
      </c>
      <c r="D5" s="552"/>
      <c r="E5" s="552"/>
      <c r="F5" s="553"/>
      <c r="G5" s="476" t="s">
        <v>114</v>
      </c>
      <c r="H5" s="476"/>
      <c r="I5" s="476"/>
      <c r="K5" s="464"/>
      <c r="L5" s="464"/>
    </row>
    <row r="6" spans="1:12" ht="47.25">
      <c r="A6" s="473"/>
      <c r="B6" s="473"/>
      <c r="C6" s="140" t="s">
        <v>106</v>
      </c>
      <c r="D6" s="141" t="s">
        <v>463</v>
      </c>
      <c r="E6" s="186"/>
      <c r="F6" s="142" t="s">
        <v>105</v>
      </c>
      <c r="G6" s="142" t="s">
        <v>28</v>
      </c>
      <c r="H6" s="140" t="s">
        <v>29</v>
      </c>
      <c r="I6" s="141" t="s">
        <v>579</v>
      </c>
      <c r="K6" s="464"/>
      <c r="L6" s="464"/>
    </row>
    <row r="7" spans="1:12" s="12" customFormat="1" ht="31.5">
      <c r="A7" s="26" t="s">
        <v>1</v>
      </c>
      <c r="B7" s="29" t="s">
        <v>34</v>
      </c>
      <c r="C7" s="26"/>
      <c r="D7" s="26"/>
      <c r="E7" s="187"/>
      <c r="F7" s="26" t="s">
        <v>116</v>
      </c>
      <c r="G7" s="26"/>
      <c r="H7" s="39">
        <f>+H8+H10</f>
        <v>17.5</v>
      </c>
      <c r="I7" s="26"/>
      <c r="J7" s="280"/>
      <c r="K7" s="464"/>
      <c r="L7" s="464"/>
    </row>
    <row r="8" spans="1:12" s="50" customFormat="1" ht="95.25" customHeight="1">
      <c r="A8" s="596">
        <v>1</v>
      </c>
      <c r="B8" s="585" t="s">
        <v>35</v>
      </c>
      <c r="C8" s="587" t="s">
        <v>103</v>
      </c>
      <c r="D8" s="588"/>
      <c r="E8" s="188"/>
      <c r="F8" s="143">
        <v>5</v>
      </c>
      <c r="G8" s="589" t="s">
        <v>197</v>
      </c>
      <c r="H8" s="590">
        <v>5</v>
      </c>
      <c r="I8" s="591" t="str">
        <f>+IF(H8=F8,"Tối đa",IF(H8&gt;F9,"Trung bình",IF(H8=F9,"Tối thiểu","Không đạt")))</f>
        <v>Tối đa</v>
      </c>
      <c r="J8" s="278"/>
      <c r="K8" s="464"/>
      <c r="L8" s="464"/>
    </row>
    <row r="9" spans="1:12" s="50" customFormat="1" ht="80.25" customHeight="1">
      <c r="A9" s="597"/>
      <c r="B9" s="586"/>
      <c r="C9" s="587" t="s">
        <v>121</v>
      </c>
      <c r="D9" s="588"/>
      <c r="E9" s="188"/>
      <c r="F9" s="144">
        <v>3.75</v>
      </c>
      <c r="G9" s="589"/>
      <c r="H9" s="590"/>
      <c r="I9" s="591"/>
      <c r="J9" s="278"/>
      <c r="K9" s="464"/>
      <c r="L9" s="464"/>
    </row>
    <row r="10" spans="1:12" s="50" customFormat="1" ht="18.75">
      <c r="A10" s="145">
        <v>2</v>
      </c>
      <c r="B10" s="146" t="s">
        <v>36</v>
      </c>
      <c r="C10" s="582"/>
      <c r="D10" s="583"/>
      <c r="E10" s="189"/>
      <c r="F10" s="147"/>
      <c r="G10" s="148"/>
      <c r="H10" s="149">
        <f>SUM(H11:H24)</f>
        <v>12.5</v>
      </c>
      <c r="I10" s="145"/>
      <c r="J10" s="278"/>
      <c r="K10" s="464"/>
      <c r="L10" s="464"/>
    </row>
    <row r="11" spans="1:12" ht="18.75">
      <c r="A11" s="485" t="s">
        <v>14</v>
      </c>
      <c r="B11" s="502" t="s">
        <v>2</v>
      </c>
      <c r="C11" s="580" t="s">
        <v>115</v>
      </c>
      <c r="D11" s="581"/>
      <c r="E11" s="190" t="str">
        <f>+C11</f>
        <v>Dư</v>
      </c>
      <c r="F11" s="45">
        <v>2</v>
      </c>
      <c r="G11" s="584" t="s">
        <v>115</v>
      </c>
      <c r="H11" s="490">
        <v>2</v>
      </c>
      <c r="I11" s="478" t="str">
        <f>+IF(H11=F11,"Tối đa",IF(H11&gt;F12,"Trung bình",IF(H11=F12,"Tối thiểu","Không đạt")))</f>
        <v>Tối đa</v>
      </c>
      <c r="J11" s="481"/>
      <c r="K11" s="536" t="s">
        <v>230</v>
      </c>
      <c r="L11" s="537" t="str">
        <f>'THÔNG TIN CHUNG'!$B$10</f>
        <v>PHÒNG TÀI CHÍNH - KẾ HOẠCH</v>
      </c>
    </row>
    <row r="12" spans="1:12" ht="18.75">
      <c r="A12" s="486"/>
      <c r="B12" s="503"/>
      <c r="C12" s="580" t="s">
        <v>10</v>
      </c>
      <c r="D12" s="581"/>
      <c r="E12" s="190" t="str">
        <f>+C12</f>
        <v>Đủ</v>
      </c>
      <c r="F12" s="45">
        <v>1.5</v>
      </c>
      <c r="G12" s="584"/>
      <c r="H12" s="490"/>
      <c r="I12" s="478"/>
      <c r="J12" s="482"/>
      <c r="K12" s="536"/>
      <c r="L12" s="537"/>
    </row>
    <row r="13" spans="1:12" ht="18.75">
      <c r="A13" s="485" t="s">
        <v>13</v>
      </c>
      <c r="B13" s="496" t="s">
        <v>118</v>
      </c>
      <c r="C13" s="11" t="s">
        <v>117</v>
      </c>
      <c r="D13" s="11" t="str">
        <f>C13</f>
        <v> ≥ 0,7</v>
      </c>
      <c r="E13" s="191">
        <v>0.7</v>
      </c>
      <c r="F13" s="45">
        <v>2</v>
      </c>
      <c r="G13" s="499">
        <f>'Biểu 2 Chi tiêu KTXH'!F9/95.6</f>
        <v>0.4236401673640168</v>
      </c>
      <c r="H13" s="490">
        <f>ROUND(IF(G13&gt;E13,F13,(IF(G13&lt;D14,0,(IF(G13&lt;E14,F14,FORECAST(G13,F13:F14,E13:E14)))))),2)</f>
        <v>1.5</v>
      </c>
      <c r="I13" s="478" t="str">
        <f>+IF(H13=F13,"Tối đa",IF(H13&gt;F14,"Trung bình",IF(H13=F14,"Tối thiểu","Không đạt")))</f>
        <v>Tối thiểu</v>
      </c>
      <c r="J13" s="516"/>
      <c r="K13" s="523" t="s">
        <v>231</v>
      </c>
      <c r="L13" s="524" t="str">
        <f>'THÔNG TIN CHUNG'!B21</f>
        <v>CHI CỤC THỐNG KÊ KHU VỰC 
KON PLONG - KON RẪY</v>
      </c>
    </row>
    <row r="14" spans="1:12" ht="18.75">
      <c r="A14" s="486"/>
      <c r="B14" s="497"/>
      <c r="C14" s="40">
        <v>0.5</v>
      </c>
      <c r="D14" s="11">
        <f>+C14*0.7</f>
        <v>0.35</v>
      </c>
      <c r="E14" s="191">
        <f>+C14</f>
        <v>0.5</v>
      </c>
      <c r="F14" s="45">
        <v>1.5</v>
      </c>
      <c r="G14" s="499"/>
      <c r="H14" s="490"/>
      <c r="I14" s="478"/>
      <c r="J14" s="517"/>
      <c r="K14" s="523"/>
      <c r="L14" s="524"/>
    </row>
    <row r="15" spans="1:12" s="9" customFormat="1" ht="34.5" customHeight="1">
      <c r="A15" s="485" t="s">
        <v>24</v>
      </c>
      <c r="B15" s="496" t="s">
        <v>284</v>
      </c>
      <c r="C15" s="534" t="s">
        <v>119</v>
      </c>
      <c r="D15" s="535"/>
      <c r="E15" s="200">
        <v>4</v>
      </c>
      <c r="F15" s="45">
        <v>2</v>
      </c>
      <c r="G15" s="579">
        <f>+'Biểu 2 Chi tiêu KTXH'!F11/19.07*4.92</f>
        <v>14.189826953329838</v>
      </c>
      <c r="H15" s="490">
        <f>ROUND(IF(G15&gt;E15,F15,(IF(G15&lt;E16,0,(IF(G15&lt;E16,F16,FORECAST(G15,F15:F16,E15:E16)))))),2)</f>
        <v>2</v>
      </c>
      <c r="I15" s="478" t="str">
        <f>+IF(H15=F15,"Tối đa",IF(H15&gt;F16,"Trung bình",IF(H15=F16,"Tối thiểu","Không đạt")))</f>
        <v>Tối đa</v>
      </c>
      <c r="J15" s="481"/>
      <c r="K15" s="523"/>
      <c r="L15" s="524"/>
    </row>
    <row r="16" spans="1:12" s="9" customFormat="1" ht="18.75">
      <c r="A16" s="486"/>
      <c r="B16" s="497"/>
      <c r="C16" s="534" t="s">
        <v>120</v>
      </c>
      <c r="D16" s="535"/>
      <c r="E16" s="192">
        <v>1</v>
      </c>
      <c r="F16" s="45">
        <v>1.5</v>
      </c>
      <c r="G16" s="579"/>
      <c r="H16" s="490"/>
      <c r="I16" s="478"/>
      <c r="J16" s="482"/>
      <c r="K16" s="523"/>
      <c r="L16" s="524"/>
    </row>
    <row r="17" spans="1:12" ht="18.75">
      <c r="A17" s="485" t="s">
        <v>23</v>
      </c>
      <c r="B17" s="496" t="s">
        <v>37</v>
      </c>
      <c r="C17" s="11" t="s">
        <v>122</v>
      </c>
      <c r="D17" s="11" t="str">
        <f>C17</f>
        <v>≥ 7,0</v>
      </c>
      <c r="E17" s="191">
        <v>7</v>
      </c>
      <c r="F17" s="45">
        <v>2</v>
      </c>
      <c r="G17" s="579">
        <f>+('Biểu 2 Chi tiêu KTXH'!D10+'Biểu 2 Chi tiêu KTXH'!E10+'Biểu 2 Chi tiêu KTXH'!F10)/3</f>
        <v>15.066666666666668</v>
      </c>
      <c r="H17" s="490">
        <f>ROUND(IF(G17&gt;E17,F17,(IF(G17&lt;D18,0,(IF(G17&lt;E18,F18,FORECAST(G17,F17:F18,E17:E18)))))),2)</f>
        <v>2</v>
      </c>
      <c r="I17" s="478" t="str">
        <f>+IF(H17=F17,"Tối đa",IF(H17&gt;F18,"Trung bình",IF(H17=F18,"Tối thiểu","Không đạt")))</f>
        <v>Tối đa</v>
      </c>
      <c r="J17" s="481"/>
      <c r="K17" s="523"/>
      <c r="L17" s="524"/>
    </row>
    <row r="18" spans="1:12" ht="18.75">
      <c r="A18" s="486"/>
      <c r="B18" s="497"/>
      <c r="C18" s="48">
        <v>6</v>
      </c>
      <c r="D18" s="11">
        <f>C18*0.7</f>
        <v>4.199999999999999</v>
      </c>
      <c r="E18" s="205">
        <f>+C18</f>
        <v>6</v>
      </c>
      <c r="F18" s="45">
        <v>1</v>
      </c>
      <c r="G18" s="579"/>
      <c r="H18" s="490"/>
      <c r="I18" s="478"/>
      <c r="J18" s="482"/>
      <c r="K18" s="523"/>
      <c r="L18" s="524"/>
    </row>
    <row r="19" spans="1:12" ht="18.75">
      <c r="A19" s="485" t="s">
        <v>22</v>
      </c>
      <c r="B19" s="496" t="s">
        <v>504</v>
      </c>
      <c r="C19" s="11" t="s">
        <v>505</v>
      </c>
      <c r="D19" s="11" t="str">
        <f>C19</f>
        <v>≥ 1,25</v>
      </c>
      <c r="E19" s="191">
        <v>1.25</v>
      </c>
      <c r="F19" s="45">
        <v>2</v>
      </c>
      <c r="G19" s="579">
        <f>'Biểu 2 Chi tiêu KTXH'!F10/8.02</f>
        <v>1.9576059850374066</v>
      </c>
      <c r="H19" s="490">
        <f>ROUND(IF(G19&gt;E19,F19,(IF(G19&lt;D20,0,(IF(G19&lt;E20,F20,FORECAST(G19,F19:F20,E19:E20)))))),2)</f>
        <v>2</v>
      </c>
      <c r="I19" s="478" t="str">
        <f>+IF(H19=F19,"Tối đa",IF(H19&gt;F20,"Trung bình",IF(H19=F20,"Tối thiểu","Không đạt")))</f>
        <v>Tối đa</v>
      </c>
      <c r="J19" s="228"/>
      <c r="K19" s="286"/>
      <c r="L19" s="287"/>
    </row>
    <row r="20" spans="1:12" ht="18.75">
      <c r="A20" s="486"/>
      <c r="B20" s="497"/>
      <c r="C20" s="48">
        <v>1</v>
      </c>
      <c r="D20" s="11">
        <f>C20*0.7</f>
        <v>0.7</v>
      </c>
      <c r="E20" s="205">
        <f>+C20</f>
        <v>1</v>
      </c>
      <c r="F20" s="45">
        <v>1.5</v>
      </c>
      <c r="G20" s="579"/>
      <c r="H20" s="490"/>
      <c r="I20" s="478"/>
      <c r="J20" s="228"/>
      <c r="K20" s="286"/>
      <c r="L20" s="287"/>
    </row>
    <row r="21" spans="1:12" s="23" customFormat="1" ht="18.75">
      <c r="A21" s="485" t="s">
        <v>21</v>
      </c>
      <c r="B21" s="502" t="s">
        <v>123</v>
      </c>
      <c r="C21" s="11" t="s">
        <v>124</v>
      </c>
      <c r="D21" s="11" t="str">
        <f>+C21</f>
        <v>≤ 5,0</v>
      </c>
      <c r="E21" s="191">
        <v>5</v>
      </c>
      <c r="F21" s="45">
        <v>2</v>
      </c>
      <c r="G21" s="533">
        <f>'Biểu 3 Hộ nghèo'!E18</f>
        <v>4.250386398763524</v>
      </c>
      <c r="H21" s="490">
        <v>2</v>
      </c>
      <c r="I21" s="478" t="str">
        <f>+IF(H21=F21,"Tối đa",IF(H21&gt;F22,"Trung bình",IF(H21=F22,"Tối thiểu","Không đạt")))</f>
        <v>Tối đa</v>
      </c>
      <c r="J21" s="481"/>
      <c r="K21" s="531" t="s">
        <v>232</v>
      </c>
      <c r="L21" s="532" t="str">
        <f>'THÔNG TIN CHUNG'!$B$14</f>
        <v>PHÒNG LAO ĐỘNG - THƯƠNG BINH &amp; XÃ HỘI</v>
      </c>
    </row>
    <row r="22" spans="1:12" s="23" customFormat="1" ht="18.75">
      <c r="A22" s="486"/>
      <c r="B22" s="503"/>
      <c r="C22" s="48">
        <v>6</v>
      </c>
      <c r="D22" s="135">
        <f>+C22/0.7</f>
        <v>8.571428571428571</v>
      </c>
      <c r="E22" s="193">
        <f>+C22</f>
        <v>6</v>
      </c>
      <c r="F22" s="45">
        <v>1</v>
      </c>
      <c r="G22" s="533"/>
      <c r="H22" s="490"/>
      <c r="I22" s="478"/>
      <c r="J22" s="482"/>
      <c r="K22" s="531"/>
      <c r="L22" s="532"/>
    </row>
    <row r="23" spans="1:12" ht="18.75">
      <c r="A23" s="485" t="s">
        <v>250</v>
      </c>
      <c r="B23" s="496" t="s">
        <v>125</v>
      </c>
      <c r="C23" s="11" t="s">
        <v>126</v>
      </c>
      <c r="D23" s="11" t="str">
        <f>+C23</f>
        <v>≥ 1,2</v>
      </c>
      <c r="E23" s="191">
        <v>1.2</v>
      </c>
      <c r="F23" s="45">
        <v>1</v>
      </c>
      <c r="G23" s="499">
        <f>'Biểu 2 Chi tiêu KTXH'!F13/10</f>
        <v>2.1</v>
      </c>
      <c r="H23" s="490">
        <f>ROUND(IF(G23&gt;E23,F23,(IF(G23&lt;D24,0,(IF(G23&lt;E24,F24,FORECAST(G23,F23:F24,E23:E24)))))),2)</f>
        <v>1</v>
      </c>
      <c r="I23" s="478" t="str">
        <f>+IF(H23=F23,"Tối đa",IF(H23&gt;F24,"Trung bình",IF(H23=F24,"Tối thiểu","Không đạt")))</f>
        <v>Tối đa</v>
      </c>
      <c r="J23" s="481"/>
      <c r="K23" s="523" t="str">
        <f>+$K$13</f>
        <v>Biểu 2</v>
      </c>
      <c r="L23" s="524" t="str">
        <f>+$L$13</f>
        <v>CHI CỤC THỐNG KÊ KHU VỰC 
KON PLONG - KON RẪY</v>
      </c>
    </row>
    <row r="24" spans="1:12" ht="18.75">
      <c r="A24" s="486"/>
      <c r="B24" s="497"/>
      <c r="C24" s="11">
        <v>0.8</v>
      </c>
      <c r="D24" s="11">
        <f>+C24*0.7</f>
        <v>0.5599999999999999</v>
      </c>
      <c r="E24" s="191">
        <f>+C24</f>
        <v>0.8</v>
      </c>
      <c r="F24" s="54">
        <v>0.75</v>
      </c>
      <c r="G24" s="499"/>
      <c r="H24" s="490"/>
      <c r="I24" s="478"/>
      <c r="J24" s="482"/>
      <c r="K24" s="523"/>
      <c r="L24" s="524"/>
    </row>
    <row r="25" spans="1:12" s="14" customFormat="1" ht="18.75">
      <c r="A25" s="26" t="s">
        <v>3</v>
      </c>
      <c r="B25" s="27" t="s">
        <v>38</v>
      </c>
      <c r="C25" s="26"/>
      <c r="D25" s="28"/>
      <c r="E25" s="194"/>
      <c r="F25" s="39" t="s">
        <v>41</v>
      </c>
      <c r="G25" s="348"/>
      <c r="H25" s="349">
        <f>H26</f>
        <v>6.21</v>
      </c>
      <c r="I25" s="26"/>
      <c r="J25" s="110"/>
      <c r="K25" s="167"/>
      <c r="L25" s="168"/>
    </row>
    <row r="26" spans="1:12" ht="25.5">
      <c r="A26" s="7">
        <v>1</v>
      </c>
      <c r="B26" s="364" t="s">
        <v>229</v>
      </c>
      <c r="C26" s="49" t="s">
        <v>166</v>
      </c>
      <c r="D26" s="49" t="s">
        <v>166</v>
      </c>
      <c r="E26" s="191">
        <v>20</v>
      </c>
      <c r="F26" s="46">
        <v>8</v>
      </c>
      <c r="G26" s="578">
        <f>'Biểu 2 Chi tiêu KTXH'!F12/1000+'Biểu 4 Dân số tạm trú'!F13/1000</f>
        <v>5.6899999999999995</v>
      </c>
      <c r="H26" s="490">
        <f>ROUND(IF(G26&gt;E26,F26,(IF(G26&lt;D27,0,(IF(G26&lt;E27,F27,FORECAST(G26,F26:F27,E26:E27)))))),2)</f>
        <v>6.21</v>
      </c>
      <c r="I26" s="368" t="str">
        <f>+IF(H26=F26,"Tối đa",IF(H26&gt;F27,"Trung bình",IF(H26=F27,"Tối thiểu","Không đạt")))</f>
        <v>Trung bình</v>
      </c>
      <c r="J26" s="481"/>
      <c r="K26" s="162" t="s">
        <v>231</v>
      </c>
      <c r="L26" s="287" t="str">
        <f>+L23</f>
        <v>CHI CỤC THỐNG KÊ KHU VỰC 
KON PLONG - KON RẪY</v>
      </c>
    </row>
    <row r="27" spans="1:12" ht="18.75">
      <c r="A27" s="358" t="s">
        <v>39</v>
      </c>
      <c r="B27" s="359" t="s">
        <v>614</v>
      </c>
      <c r="C27" s="49">
        <v>4</v>
      </c>
      <c r="D27" s="49">
        <f>+C27*0.6</f>
        <v>2.4</v>
      </c>
      <c r="E27" s="195">
        <v>4</v>
      </c>
      <c r="F27" s="46">
        <v>6</v>
      </c>
      <c r="G27" s="578"/>
      <c r="H27" s="490"/>
      <c r="I27" s="368" t="str">
        <f>+IF(H26=F26,"Tối đa",IF(H26&gt;F27,"Trung bình",IF(H26=F27,"Tối thiểu","Không đạt")))</f>
        <v>Trung bình</v>
      </c>
      <c r="J27" s="482"/>
      <c r="K27" s="162" t="s">
        <v>432</v>
      </c>
      <c r="L27" s="163" t="str">
        <f>'THÔNG TIN CHUNG'!$B$20</f>
        <v>CÔNG AN HUYỆN KON RẪY</v>
      </c>
    </row>
    <row r="28" spans="1:12" s="14" customFormat="1" ht="18.75">
      <c r="A28" s="26" t="s">
        <v>4</v>
      </c>
      <c r="B28" s="27" t="s">
        <v>5</v>
      </c>
      <c r="C28" s="26"/>
      <c r="D28" s="28"/>
      <c r="E28" s="194"/>
      <c r="F28" s="39" t="s">
        <v>41</v>
      </c>
      <c r="G28" s="348"/>
      <c r="H28" s="349">
        <f>H29+H31</f>
        <v>6.5</v>
      </c>
      <c r="I28" s="26"/>
      <c r="J28" s="110"/>
      <c r="K28" s="167"/>
      <c r="L28" s="168"/>
    </row>
    <row r="29" spans="1:12" ht="18.75">
      <c r="A29" s="485">
        <v>1</v>
      </c>
      <c r="B29" s="502" t="s">
        <v>107</v>
      </c>
      <c r="C29" s="11" t="s">
        <v>128</v>
      </c>
      <c r="D29" s="11" t="s">
        <v>128</v>
      </c>
      <c r="E29" s="191">
        <v>1200</v>
      </c>
      <c r="F29" s="47">
        <v>2</v>
      </c>
      <c r="G29" s="530">
        <f>+G26*1000/(('Biểu 6 Cơ cấu SDD'!C8-'Biểu 6 Cơ cấu SDD'!C28)*0.01)</f>
        <v>1244.722507820532</v>
      </c>
      <c r="H29" s="490">
        <f>ROUND(IF(G29&gt;E29,F29,(IF(G29&lt;D30,0,(IF(G29&lt;E30,F30,FORECAST(G29,F29:F30,E29:E30)))))),2)</f>
        <v>2</v>
      </c>
      <c r="I29" s="478" t="str">
        <f>+IF(H29=F29,"Tối đa",IF(H29&gt;F30,"Trung bình",IF(H29=F30,"Tối thiểu","Không đạt")))</f>
        <v>Tối đa</v>
      </c>
      <c r="J29" s="527"/>
      <c r="K29" s="525"/>
      <c r="L29" s="526"/>
    </row>
    <row r="30" spans="1:12" ht="18.75">
      <c r="A30" s="486"/>
      <c r="B30" s="503"/>
      <c r="C30" s="49">
        <v>1000</v>
      </c>
      <c r="D30" s="49">
        <f>+C30*0.5</f>
        <v>500</v>
      </c>
      <c r="E30" s="191">
        <v>500</v>
      </c>
      <c r="F30" s="46">
        <v>1.5</v>
      </c>
      <c r="G30" s="530"/>
      <c r="H30" s="490"/>
      <c r="I30" s="478"/>
      <c r="J30" s="528"/>
      <c r="K30" s="525"/>
      <c r="L30" s="526"/>
    </row>
    <row r="31" spans="1:12" ht="18.75">
      <c r="A31" s="485" t="s">
        <v>39</v>
      </c>
      <c r="B31" s="556" t="s">
        <v>234</v>
      </c>
      <c r="C31" s="11" t="s">
        <v>129</v>
      </c>
      <c r="D31" s="11" t="str">
        <f>+C31</f>
        <v>≥ 4000</v>
      </c>
      <c r="E31" s="191">
        <v>4000</v>
      </c>
      <c r="F31" s="47">
        <v>6</v>
      </c>
      <c r="G31" s="577">
        <f>+G26*1000/('Biểu 6 Cơ cấu SDD'!C9*0.01)</f>
        <v>2970.930308449398</v>
      </c>
      <c r="H31" s="490">
        <f>ROUND(IF(G31&gt;E31,F31,(IF(G31&lt;D32,0,(IF(G31&lt;E32,F32,FORECAST(G31,F31:F32,E31:E32)))))),2)</f>
        <v>4.5</v>
      </c>
      <c r="I31" s="478" t="str">
        <f>+IF(H31=F31,"Tối đa",IF(H31&gt;F32,"Trung bình",IF(H31=F32,"Tối thiểu","Không đạt")))</f>
        <v>Tối thiểu</v>
      </c>
      <c r="J31" s="527"/>
      <c r="K31" s="525"/>
      <c r="L31" s="526"/>
    </row>
    <row r="32" spans="1:12" ht="18.75">
      <c r="A32" s="486"/>
      <c r="B32" s="557"/>
      <c r="C32" s="11">
        <v>3000</v>
      </c>
      <c r="D32" s="11">
        <f>+C32*0.7</f>
        <v>2100</v>
      </c>
      <c r="E32" s="191">
        <v>3000</v>
      </c>
      <c r="F32" s="46">
        <v>4.5</v>
      </c>
      <c r="G32" s="577"/>
      <c r="H32" s="490"/>
      <c r="I32" s="478"/>
      <c r="J32" s="528"/>
      <c r="K32" s="525"/>
      <c r="L32" s="526"/>
    </row>
    <row r="33" spans="1:12" s="14" customFormat="1" ht="18.75">
      <c r="A33" s="26" t="s">
        <v>6</v>
      </c>
      <c r="B33" s="27" t="s">
        <v>7</v>
      </c>
      <c r="C33" s="26"/>
      <c r="D33" s="28"/>
      <c r="E33" s="194"/>
      <c r="F33" s="39" t="s">
        <v>40</v>
      </c>
      <c r="G33" s="348"/>
      <c r="H33" s="349">
        <f>SUM(H34)</f>
        <v>4.5</v>
      </c>
      <c r="I33" s="26"/>
      <c r="J33" s="110"/>
      <c r="K33" s="167"/>
      <c r="L33" s="168"/>
    </row>
    <row r="34" spans="1:12" s="4" customFormat="1" ht="18.75">
      <c r="A34" s="7">
        <v>1</v>
      </c>
      <c r="B34" s="365" t="s">
        <v>615</v>
      </c>
      <c r="C34" s="11">
        <v>65</v>
      </c>
      <c r="D34" s="11">
        <f>C34</f>
        <v>65</v>
      </c>
      <c r="E34" s="191">
        <f>+C34</f>
        <v>65</v>
      </c>
      <c r="F34" s="47">
        <v>6</v>
      </c>
      <c r="G34" s="577">
        <f>+'Biểu 2 Chi tiêu KTXH'!F16</f>
        <v>39</v>
      </c>
      <c r="H34" s="490">
        <f>ROUND(IF(G34&gt;E34,F34,(IF(G34&lt;D35,0,(IF(G34&lt;E35,F35,FORECAST(G34,F34:F35,E34:E35)))))),2)</f>
        <v>4.5</v>
      </c>
      <c r="I34" s="285" t="str">
        <f>+IF(H34=F34,"Tối đa",IF(H34&gt;F35,"Trung bình",IF(H34=F35,"Tối thiểu","Không đạt")))</f>
        <v>Tối thiểu</v>
      </c>
      <c r="J34" s="481"/>
      <c r="K34" s="523" t="str">
        <f>+$K$13</f>
        <v>Biểu 2</v>
      </c>
      <c r="L34" s="524" t="str">
        <f>+$L$13</f>
        <v>CHI CỤC THỐNG KÊ KHU VỰC 
KON PLONG - KON RẪY</v>
      </c>
    </row>
    <row r="35" spans="1:12" s="4" customFormat="1" ht="18.75">
      <c r="A35" s="7" t="s">
        <v>39</v>
      </c>
      <c r="B35" s="37" t="s">
        <v>616</v>
      </c>
      <c r="C35" s="11">
        <v>55</v>
      </c>
      <c r="D35" s="11">
        <f>C35*0.7</f>
        <v>38.5</v>
      </c>
      <c r="E35" s="191">
        <f>+C35</f>
        <v>55</v>
      </c>
      <c r="F35" s="47">
        <v>4.5</v>
      </c>
      <c r="G35" s="577"/>
      <c r="H35" s="490"/>
      <c r="I35" s="285" t="str">
        <f>+IF(H34=F34,"Tối đa",IF(H34&gt;F35,"Trung bình",IF(H34=F35,"Tối thiểu","Không đạt")))</f>
        <v>Tối thiểu</v>
      </c>
      <c r="J35" s="482"/>
      <c r="K35" s="523"/>
      <c r="L35" s="524"/>
    </row>
    <row r="36" spans="1:12" s="4" customFormat="1" ht="31.5">
      <c r="A36" s="26" t="s">
        <v>8</v>
      </c>
      <c r="B36" s="29" t="s">
        <v>198</v>
      </c>
      <c r="C36" s="29"/>
      <c r="D36" s="29"/>
      <c r="E36" s="196"/>
      <c r="F36" s="39" t="s">
        <v>42</v>
      </c>
      <c r="G36" s="350"/>
      <c r="H36" s="38">
        <f>H37+H133</f>
        <v>49</v>
      </c>
      <c r="I36" s="29"/>
      <c r="J36" s="157"/>
      <c r="K36" s="70"/>
      <c r="L36" s="72"/>
    </row>
    <row r="37" spans="1:12" ht="31.5">
      <c r="A37" s="26" t="s">
        <v>112</v>
      </c>
      <c r="B37" s="29" t="s">
        <v>130</v>
      </c>
      <c r="C37" s="26"/>
      <c r="D37" s="30"/>
      <c r="E37" s="197"/>
      <c r="F37" s="39"/>
      <c r="G37" s="351"/>
      <c r="H37" s="349">
        <f>H38+H61+H92+H118</f>
        <v>39</v>
      </c>
      <c r="I37" s="26"/>
      <c r="J37" s="110"/>
      <c r="K37" s="70"/>
      <c r="L37" s="72"/>
    </row>
    <row r="38" spans="1:12" s="13" customFormat="1" ht="18.75">
      <c r="A38" s="145" t="s">
        <v>32</v>
      </c>
      <c r="B38" s="150" t="s">
        <v>43</v>
      </c>
      <c r="C38" s="145"/>
      <c r="D38" s="151"/>
      <c r="E38" s="197"/>
      <c r="F38" s="147" t="s">
        <v>576</v>
      </c>
      <c r="G38" s="352"/>
      <c r="H38" s="149">
        <f>H39+H44</f>
        <v>8.31</v>
      </c>
      <c r="I38" s="145"/>
      <c r="J38" s="110"/>
      <c r="K38" s="73"/>
      <c r="L38" s="155"/>
    </row>
    <row r="39" spans="1:12" ht="18.75">
      <c r="A39" s="24" t="s">
        <v>15</v>
      </c>
      <c r="B39" s="25" t="s">
        <v>44</v>
      </c>
      <c r="C39" s="24"/>
      <c r="D39" s="31"/>
      <c r="E39" s="197"/>
      <c r="F39" s="43" t="s">
        <v>78</v>
      </c>
      <c r="G39" s="325"/>
      <c r="H39" s="299">
        <f>SUM(H40:H43)</f>
        <v>1.56</v>
      </c>
      <c r="I39" s="24"/>
      <c r="J39" s="158"/>
      <c r="K39" s="70"/>
      <c r="L39" s="72"/>
    </row>
    <row r="40" spans="1:12" ht="18.75">
      <c r="A40" s="485" t="s">
        <v>45</v>
      </c>
      <c r="B40" s="496" t="s">
        <v>131</v>
      </c>
      <c r="C40" s="11" t="s">
        <v>132</v>
      </c>
      <c r="D40" s="11" t="str">
        <f>+C40</f>
        <v>≥28</v>
      </c>
      <c r="E40" s="191">
        <v>28</v>
      </c>
      <c r="F40" s="47">
        <v>1</v>
      </c>
      <c r="G40" s="499">
        <f>'Biểu 5 Nhà ở'!F16/'Biểu 2 Chi tiêu KTXH'!F12</f>
        <v>18.402103709171435</v>
      </c>
      <c r="H40" s="490">
        <f>ROUND(IF(G40&gt;E40,F40,(IF(G40&lt;D41,0,(IF(G40&lt;E41,F41,FORECAST(G40,F40:F41,E40:E41)))))),2)</f>
        <v>0.75</v>
      </c>
      <c r="I40" s="478" t="str">
        <f>+IF(H40=F40,"Tối đa",IF(H40&gt;F41,"Trung bình",IF(H40=F41,"Tối thiểu","Không đạt")))</f>
        <v>Tối thiểu</v>
      </c>
      <c r="J40" s="481"/>
      <c r="K40" s="509" t="s">
        <v>236</v>
      </c>
      <c r="L40" s="520" t="str">
        <f>'THÔNG TIN CHUNG'!$B$25</f>
        <v>UBND XÃ ĐĂK RUỒNG</v>
      </c>
    </row>
    <row r="41" spans="1:12" ht="18.75">
      <c r="A41" s="486"/>
      <c r="B41" s="497"/>
      <c r="C41" s="11">
        <v>26</v>
      </c>
      <c r="D41" s="11">
        <f>+C41*0.7</f>
        <v>18.2</v>
      </c>
      <c r="E41" s="191">
        <f>+C41</f>
        <v>26</v>
      </c>
      <c r="F41" s="46">
        <v>0.75</v>
      </c>
      <c r="G41" s="499"/>
      <c r="H41" s="490"/>
      <c r="I41" s="478"/>
      <c r="J41" s="482"/>
      <c r="K41" s="509"/>
      <c r="L41" s="521"/>
    </row>
    <row r="42" spans="1:12" ht="18.75">
      <c r="A42" s="485" t="s">
        <v>46</v>
      </c>
      <c r="B42" s="496" t="s">
        <v>133</v>
      </c>
      <c r="C42" s="11" t="s">
        <v>134</v>
      </c>
      <c r="D42" s="11" t="str">
        <f>+C42</f>
        <v>≥90</v>
      </c>
      <c r="E42" s="191">
        <v>90</v>
      </c>
      <c r="F42" s="47">
        <v>1</v>
      </c>
      <c r="G42" s="499">
        <f>'Biểu 5 Nhà ở'!E16</f>
        <v>86.21460506706408</v>
      </c>
      <c r="H42" s="490">
        <f>ROUND(IF(G42&gt;E42,F42,(IF(G42&lt;D43,0,(IF(G42&lt;E43,F43,FORECAST(G42,F42:F43,E42:E43)))))),2)</f>
        <v>0.81</v>
      </c>
      <c r="I42" s="478" t="str">
        <f>+IF(H42=F42,"Tối đa",IF(H42&gt;F43,"Trung bình",IF(H42=F43,"Tối thiểu","Không đạt")))</f>
        <v>Trung bình</v>
      </c>
      <c r="J42" s="481"/>
      <c r="K42" s="509"/>
      <c r="L42" s="520" t="str">
        <f>'THÔNG TIN CHUNG'!$B$26</f>
        <v>UBND XÃ TÂN LẬP</v>
      </c>
    </row>
    <row r="43" spans="1:12" ht="18.75">
      <c r="A43" s="486"/>
      <c r="B43" s="497"/>
      <c r="C43" s="11">
        <v>85</v>
      </c>
      <c r="D43" s="11">
        <f>+C43*0.7</f>
        <v>59.49999999999999</v>
      </c>
      <c r="E43" s="191">
        <f>+C43</f>
        <v>85</v>
      </c>
      <c r="F43" s="46">
        <v>0.75</v>
      </c>
      <c r="G43" s="499"/>
      <c r="H43" s="490"/>
      <c r="I43" s="478"/>
      <c r="J43" s="482"/>
      <c r="K43" s="509"/>
      <c r="L43" s="521"/>
    </row>
    <row r="44" spans="1:12" ht="18.75">
      <c r="A44" s="24" t="s">
        <v>25</v>
      </c>
      <c r="B44" s="25" t="s">
        <v>47</v>
      </c>
      <c r="C44" s="24"/>
      <c r="D44" s="31"/>
      <c r="E44" s="197"/>
      <c r="F44" s="43" t="s">
        <v>41</v>
      </c>
      <c r="G44" s="325"/>
      <c r="H44" s="299">
        <f>SUM(H45:H60)</f>
        <v>6.75</v>
      </c>
      <c r="I44" s="24"/>
      <c r="J44" s="158"/>
      <c r="K44" s="70"/>
      <c r="L44" s="72"/>
    </row>
    <row r="45" spans="1:12" ht="18.75">
      <c r="A45" s="485" t="s">
        <v>48</v>
      </c>
      <c r="B45" s="502" t="s">
        <v>135</v>
      </c>
      <c r="C45" s="11">
        <v>100</v>
      </c>
      <c r="D45" s="11">
        <f>+C45</f>
        <v>100</v>
      </c>
      <c r="E45" s="191">
        <f>+C45</f>
        <v>100</v>
      </c>
      <c r="F45" s="47">
        <v>1</v>
      </c>
      <c r="G45" s="576">
        <f>'Biểu 6 Cơ cấu SDD'!C10*10000/('Biểu 2 Chi tiêu KTXH'!F12)</f>
        <v>270.5665251891493</v>
      </c>
      <c r="H45" s="490">
        <f>ROUND(IF(G45&gt;E45,F45,(IF(G45&lt;D46,0,(IF(G45&lt;E46,F46,FORECAST(G45,F45:F46,E45:E46)))))),2)</f>
        <v>1</v>
      </c>
      <c r="I45" s="478" t="str">
        <f aca="true" t="shared" si="0" ref="I45:I59">+IF(H45=F45,"Tối đa",IF(H45&gt;F46,"Trung bình",IF(H45=F46,"Tối thiểu","Không đạt")))</f>
        <v>Tối đa</v>
      </c>
      <c r="J45" s="481"/>
      <c r="K45" s="518" t="s">
        <v>238</v>
      </c>
      <c r="L45" s="519" t="str">
        <f>'THÔNG TIN CHUNG'!B24</f>
        <v>PHÒNG TÀI NGUYÊN - MÔI TRƯỜNG</v>
      </c>
    </row>
    <row r="46" spans="1:12" ht="18.75">
      <c r="A46" s="486"/>
      <c r="B46" s="503"/>
      <c r="C46" s="11">
        <v>70</v>
      </c>
      <c r="D46" s="11">
        <f>C46*0.7</f>
        <v>49</v>
      </c>
      <c r="E46" s="191">
        <f>+C46</f>
        <v>70</v>
      </c>
      <c r="F46" s="46">
        <v>0.75</v>
      </c>
      <c r="G46" s="576"/>
      <c r="H46" s="490"/>
      <c r="I46" s="478"/>
      <c r="J46" s="482"/>
      <c r="K46" s="518"/>
      <c r="L46" s="519"/>
    </row>
    <row r="47" spans="1:12" s="22" customFormat="1" ht="18.75">
      <c r="A47" s="485" t="s">
        <v>49</v>
      </c>
      <c r="B47" s="496" t="s">
        <v>136</v>
      </c>
      <c r="C47" s="11" t="s">
        <v>137</v>
      </c>
      <c r="D47" s="11" t="str">
        <f>+C47</f>
        <v>≥3,5</v>
      </c>
      <c r="E47" s="191">
        <v>3.5</v>
      </c>
      <c r="F47" s="47">
        <v>1</v>
      </c>
      <c r="G47" s="576">
        <f>'Biểu 6 Cơ cấu SDD'!C14*10000/('Biểu 2 Chi tiêu KTXH'!F12)</f>
        <v>17.16183797748662</v>
      </c>
      <c r="H47" s="490">
        <f>ROUND(IF(G47&gt;E47,F47,(IF(G47&lt;D48,0,(IF(G47&lt;E48,F48,FORECAST(G47,F47:F48,E47:E48)))))),2)</f>
        <v>1</v>
      </c>
      <c r="I47" s="478" t="str">
        <f t="shared" si="0"/>
        <v>Tối đa</v>
      </c>
      <c r="J47" s="481"/>
      <c r="K47" s="518"/>
      <c r="L47" s="519"/>
    </row>
    <row r="48" spans="1:12" s="22" customFormat="1" ht="18.75">
      <c r="A48" s="486"/>
      <c r="B48" s="497"/>
      <c r="C48" s="11">
        <v>3</v>
      </c>
      <c r="D48" s="11">
        <f>+C48*0.7</f>
        <v>2.0999999999999996</v>
      </c>
      <c r="E48" s="191">
        <f>+C48</f>
        <v>3</v>
      </c>
      <c r="F48" s="46">
        <v>0.75</v>
      </c>
      <c r="G48" s="576"/>
      <c r="H48" s="490"/>
      <c r="I48" s="478"/>
      <c r="J48" s="482"/>
      <c r="K48" s="518"/>
      <c r="L48" s="519"/>
    </row>
    <row r="49" spans="1:12" ht="18.75">
      <c r="A49" s="485" t="s">
        <v>50</v>
      </c>
      <c r="B49" s="496" t="s">
        <v>108</v>
      </c>
      <c r="C49" s="11" t="s">
        <v>138</v>
      </c>
      <c r="D49" s="11" t="str">
        <f>+C49</f>
        <v> ≥1,5</v>
      </c>
      <c r="E49" s="191">
        <v>1.5</v>
      </c>
      <c r="F49" s="47">
        <v>1</v>
      </c>
      <c r="G49" s="576">
        <f>'Biểu 6 Cơ cấu SDD'!C13*10000/('Biểu 2 Chi tiêu KTXH'!F12)</f>
        <v>6.274220335855324</v>
      </c>
      <c r="H49" s="490">
        <f>ROUND(IF(G49&gt;E49,F49,(IF(G49&lt;D50,0,(IF(G49&lt;E50,F50,FORECAST(G49,F49:F50,E49:E50)))))),2)</f>
        <v>1</v>
      </c>
      <c r="I49" s="478" t="str">
        <f t="shared" si="0"/>
        <v>Tối đa</v>
      </c>
      <c r="J49" s="481"/>
      <c r="K49" s="518"/>
      <c r="L49" s="519"/>
    </row>
    <row r="50" spans="1:12" ht="18.75">
      <c r="A50" s="486"/>
      <c r="B50" s="497"/>
      <c r="C50" s="11">
        <v>1</v>
      </c>
      <c r="D50" s="11">
        <f>+C50*0.7</f>
        <v>0.7</v>
      </c>
      <c r="E50" s="191">
        <f>+C50</f>
        <v>1</v>
      </c>
      <c r="F50" s="46">
        <v>0.75</v>
      </c>
      <c r="G50" s="576"/>
      <c r="H50" s="490"/>
      <c r="I50" s="478"/>
      <c r="J50" s="482"/>
      <c r="K50" s="518"/>
      <c r="L50" s="519"/>
    </row>
    <row r="51" spans="1:12" s="22" customFormat="1" ht="18.75">
      <c r="A51" s="485" t="s">
        <v>51</v>
      </c>
      <c r="B51" s="496" t="s">
        <v>506</v>
      </c>
      <c r="C51" s="11" t="s">
        <v>139</v>
      </c>
      <c r="D51" s="11" t="str">
        <f>+C51</f>
        <v>≥30</v>
      </c>
      <c r="E51" s="191">
        <v>30</v>
      </c>
      <c r="F51" s="47">
        <v>1</v>
      </c>
      <c r="G51" s="576">
        <f>'Biểu 7 Cơ sở y tế'!C8/(G26/10)</f>
        <v>149.38488576449913</v>
      </c>
      <c r="H51" s="490">
        <f>ROUND(IF(G51&gt;E51,F51,(IF(G51&lt;D52,0,(IF(G51&lt;E52,F52,FORECAST(G51,F51:F52,E51:E52)))))),2)</f>
        <v>1</v>
      </c>
      <c r="I51" s="478" t="str">
        <f t="shared" si="0"/>
        <v>Tối đa</v>
      </c>
      <c r="J51" s="516"/>
      <c r="K51" s="491" t="s">
        <v>239</v>
      </c>
      <c r="L51" s="501" t="str">
        <f>'THÔNG TIN CHUNG'!$B$22</f>
        <v>PHÒNG Y TẾ</v>
      </c>
    </row>
    <row r="52" spans="1:12" s="22" customFormat="1" ht="18.75">
      <c r="A52" s="486"/>
      <c r="B52" s="497"/>
      <c r="C52" s="11">
        <v>25</v>
      </c>
      <c r="D52" s="11">
        <f>+C52*0.7</f>
        <v>17.5</v>
      </c>
      <c r="E52" s="191">
        <f>+C52</f>
        <v>25</v>
      </c>
      <c r="F52" s="46">
        <v>0.75</v>
      </c>
      <c r="G52" s="576"/>
      <c r="H52" s="490"/>
      <c r="I52" s="478"/>
      <c r="J52" s="517"/>
      <c r="K52" s="491"/>
      <c r="L52" s="501"/>
    </row>
    <row r="53" spans="1:12" s="9" customFormat="1" ht="18.75">
      <c r="A53" s="485" t="s">
        <v>56</v>
      </c>
      <c r="B53" s="496" t="s">
        <v>52</v>
      </c>
      <c r="C53" s="11" t="s">
        <v>140</v>
      </c>
      <c r="D53" s="11" t="str">
        <f>+C53</f>
        <v>≥2</v>
      </c>
      <c r="E53" s="191">
        <v>2</v>
      </c>
      <c r="F53" s="47">
        <v>1</v>
      </c>
      <c r="G53" s="499">
        <f>'Biểu 8 Cơ sở giáo dục'!D14+'Biểu 8 Cơ sở giáo dục'!D16</f>
        <v>2</v>
      </c>
      <c r="H53" s="490">
        <f>ROUND(IF(G53&gt;E53,F53,(IF(G53&lt;D54,0,(IF(G53&lt;E54,F54,FORECAST(G53,F53:F54,E53:E54)))))),2)</f>
        <v>1</v>
      </c>
      <c r="I53" s="478" t="str">
        <f t="shared" si="0"/>
        <v>Tối đa</v>
      </c>
      <c r="J53" s="481"/>
      <c r="K53" s="491" t="s">
        <v>240</v>
      </c>
      <c r="L53" s="501" t="str">
        <f>'THÔNG TIN CHUNG'!B15</f>
        <v>PHÒNG GIÁO DỤC &amp; ĐÀO TẠO</v>
      </c>
    </row>
    <row r="54" spans="1:12" s="9" customFormat="1" ht="18.75">
      <c r="A54" s="486"/>
      <c r="B54" s="497"/>
      <c r="C54" s="11">
        <v>1</v>
      </c>
      <c r="D54" s="11">
        <v>1</v>
      </c>
      <c r="E54" s="191">
        <f>+C54</f>
        <v>1</v>
      </c>
      <c r="F54" s="46">
        <v>0.75</v>
      </c>
      <c r="G54" s="499"/>
      <c r="H54" s="490"/>
      <c r="I54" s="478"/>
      <c r="J54" s="482"/>
      <c r="K54" s="491"/>
      <c r="L54" s="501"/>
    </row>
    <row r="55" spans="1:12" s="22" customFormat="1" ht="18.75">
      <c r="A55" s="485" t="s">
        <v>57</v>
      </c>
      <c r="B55" s="496" t="s">
        <v>53</v>
      </c>
      <c r="C55" s="11" t="s">
        <v>140</v>
      </c>
      <c r="D55" s="11" t="str">
        <f>+C55</f>
        <v>≥2</v>
      </c>
      <c r="E55" s="191">
        <v>2</v>
      </c>
      <c r="F55" s="47">
        <v>1</v>
      </c>
      <c r="G55" s="499">
        <f>'Biểu 9 Ctrinh văn hóa'!D8</f>
        <v>3</v>
      </c>
      <c r="H55" s="490">
        <f>ROUND(IF(G55&gt;E55,F55,(IF(G55&lt;D56,0,(IF(G55&lt;E56,F56,FORECAST(G55,F55:F56,E55:E56)))))),2)</f>
        <v>1</v>
      </c>
      <c r="I55" s="478" t="str">
        <f t="shared" si="0"/>
        <v>Tối đa</v>
      </c>
      <c r="J55" s="481"/>
      <c r="K55" s="491" t="s">
        <v>241</v>
      </c>
      <c r="L55" s="501" t="str">
        <f>'THÔNG TIN CHUNG'!B16</f>
        <v>PHÒNG VĂN HÓA - THÔNG TIN</v>
      </c>
    </row>
    <row r="56" spans="1:12" s="22" customFormat="1" ht="18.75">
      <c r="A56" s="486"/>
      <c r="B56" s="497"/>
      <c r="C56" s="11">
        <v>1</v>
      </c>
      <c r="D56" s="11">
        <v>1</v>
      </c>
      <c r="E56" s="191">
        <f>+C56</f>
        <v>1</v>
      </c>
      <c r="F56" s="46">
        <v>0.75</v>
      </c>
      <c r="G56" s="499"/>
      <c r="H56" s="490"/>
      <c r="I56" s="478"/>
      <c r="J56" s="482"/>
      <c r="K56" s="491"/>
      <c r="L56" s="501"/>
    </row>
    <row r="57" spans="1:12" s="22" customFormat="1" ht="18.75">
      <c r="A57" s="485" t="s">
        <v>58</v>
      </c>
      <c r="B57" s="496" t="s">
        <v>54</v>
      </c>
      <c r="C57" s="11" t="s">
        <v>140</v>
      </c>
      <c r="D57" s="11" t="str">
        <f>+C57</f>
        <v>≥2</v>
      </c>
      <c r="E57" s="191">
        <v>2</v>
      </c>
      <c r="F57" s="47">
        <v>1</v>
      </c>
      <c r="G57" s="499">
        <f>'Biểu 9 Ctrinh văn hóa'!D12</f>
        <v>0</v>
      </c>
      <c r="H57" s="490">
        <f>ROUND(IF(G57&gt;E57,F57,(IF(G57&lt;D58,0,(IF(G57&lt;E58,F58,FORECAST(G57,F57:F58,E57:E58)))))),2)</f>
        <v>0</v>
      </c>
      <c r="I57" s="478" t="str">
        <f t="shared" si="0"/>
        <v>Không đạt</v>
      </c>
      <c r="J57" s="481"/>
      <c r="K57" s="491"/>
      <c r="L57" s="501"/>
    </row>
    <row r="58" spans="1:12" s="22" customFormat="1" ht="18.75">
      <c r="A58" s="486"/>
      <c r="B58" s="497"/>
      <c r="C58" s="11">
        <v>1</v>
      </c>
      <c r="D58" s="11">
        <v>1</v>
      </c>
      <c r="E58" s="191">
        <f>+C58</f>
        <v>1</v>
      </c>
      <c r="F58" s="46">
        <v>0.75</v>
      </c>
      <c r="G58" s="499"/>
      <c r="H58" s="490"/>
      <c r="I58" s="478"/>
      <c r="J58" s="482"/>
      <c r="K58" s="491"/>
      <c r="L58" s="501"/>
    </row>
    <row r="59" spans="1:12" ht="18.75">
      <c r="A59" s="513" t="s">
        <v>59</v>
      </c>
      <c r="B59" s="514" t="s">
        <v>55</v>
      </c>
      <c r="C59" s="11" t="s">
        <v>140</v>
      </c>
      <c r="D59" s="11" t="str">
        <f>+C59</f>
        <v>≥2</v>
      </c>
      <c r="E59" s="191">
        <v>2</v>
      </c>
      <c r="F59" s="47">
        <v>1</v>
      </c>
      <c r="G59" s="499">
        <f>'Biểu 10 Ctrinh TMDV'!D10</f>
        <v>1</v>
      </c>
      <c r="H59" s="490">
        <f>ROUND(IF(G59&gt;E59,F59,(IF(G59&lt;D60,0,(IF(G59&lt;E60,F60,FORECAST(G59,F59:F60,E59:E60)))))),2)</f>
        <v>0.75</v>
      </c>
      <c r="I59" s="478" t="str">
        <f t="shared" si="0"/>
        <v>Tối thiểu</v>
      </c>
      <c r="J59" s="505"/>
      <c r="K59" s="509" t="s">
        <v>242</v>
      </c>
      <c r="L59" s="492" t="str">
        <f>L40</f>
        <v>UBND XÃ ĐĂK RUỒNG</v>
      </c>
    </row>
    <row r="60" spans="1:12" ht="18.75">
      <c r="A60" s="513"/>
      <c r="B60" s="514"/>
      <c r="C60" s="11">
        <v>1</v>
      </c>
      <c r="D60" s="11">
        <v>1</v>
      </c>
      <c r="E60" s="191">
        <f>+C60</f>
        <v>1</v>
      </c>
      <c r="F60" s="46">
        <v>0.75</v>
      </c>
      <c r="G60" s="499"/>
      <c r="H60" s="490"/>
      <c r="I60" s="478"/>
      <c r="J60" s="505"/>
      <c r="K60" s="509"/>
      <c r="L60" s="492"/>
    </row>
    <row r="61" spans="1:12" ht="18.75">
      <c r="A61" s="145" t="s">
        <v>39</v>
      </c>
      <c r="B61" s="152" t="s">
        <v>60</v>
      </c>
      <c r="C61" s="145"/>
      <c r="D61" s="151"/>
      <c r="E61" s="197"/>
      <c r="F61" s="147" t="s">
        <v>61</v>
      </c>
      <c r="G61" s="352"/>
      <c r="H61" s="149">
        <f>H62+H73+H80+H85</f>
        <v>11.940000000000001</v>
      </c>
      <c r="I61" s="145"/>
      <c r="J61" s="158"/>
      <c r="K61" s="70"/>
      <c r="L61" s="72"/>
    </row>
    <row r="62" spans="1:12" ht="18.75">
      <c r="A62" s="24" t="s">
        <v>14</v>
      </c>
      <c r="B62" s="25" t="s">
        <v>62</v>
      </c>
      <c r="C62" s="24"/>
      <c r="D62" s="31"/>
      <c r="E62" s="197"/>
      <c r="F62" s="43" t="s">
        <v>40</v>
      </c>
      <c r="G62" s="325"/>
      <c r="H62" s="299">
        <f>SUM(H63:H72)</f>
        <v>4.7</v>
      </c>
      <c r="I62" s="24"/>
      <c r="J62" s="158"/>
      <c r="K62" s="70"/>
      <c r="L62" s="72"/>
    </row>
    <row r="63" spans="1:12" ht="27.75" customHeight="1">
      <c r="A63" s="485" t="s">
        <v>63</v>
      </c>
      <c r="B63" s="496" t="s">
        <v>141</v>
      </c>
      <c r="C63" s="574" t="s">
        <v>142</v>
      </c>
      <c r="D63" s="566"/>
      <c r="E63" s="198" t="str">
        <f>+C63</f>
        <v>Vùng liên huyện</v>
      </c>
      <c r="F63" s="47">
        <v>1</v>
      </c>
      <c r="G63" s="575" t="s">
        <v>551</v>
      </c>
      <c r="H63" s="571">
        <v>0</v>
      </c>
      <c r="I63" s="572" t="str">
        <f aca="true" t="shared" si="1" ref="I63:I71">+IF(H63=F63,"Tối đa",IF(H63&gt;F64,"Trung bình",IF(H63=F64,"Tối thiểu","Không đạt")))</f>
        <v>Không đạt</v>
      </c>
      <c r="J63" s="481"/>
      <c r="K63" s="509" t="s">
        <v>243</v>
      </c>
      <c r="L63" s="492" t="str">
        <f>L40</f>
        <v>UBND XÃ ĐĂK RUỒNG</v>
      </c>
    </row>
    <row r="64" spans="1:12" ht="27.75" customHeight="1">
      <c r="A64" s="486"/>
      <c r="B64" s="497"/>
      <c r="C64" s="574" t="s">
        <v>143</v>
      </c>
      <c r="D64" s="566"/>
      <c r="E64" s="198" t="str">
        <f>+C64</f>
        <v> Huyện</v>
      </c>
      <c r="F64" s="46">
        <v>0.75</v>
      </c>
      <c r="G64" s="575"/>
      <c r="H64" s="571"/>
      <c r="I64" s="572"/>
      <c r="J64" s="482"/>
      <c r="K64" s="509"/>
      <c r="L64" s="492"/>
    </row>
    <row r="65" spans="1:12" ht="18.75">
      <c r="A65" s="485" t="s">
        <v>65</v>
      </c>
      <c r="B65" s="437" t="s">
        <v>144</v>
      </c>
      <c r="C65" s="11" t="s">
        <v>145</v>
      </c>
      <c r="D65" s="11" t="str">
        <f>+C65</f>
        <v>≥16</v>
      </c>
      <c r="E65" s="191">
        <v>16</v>
      </c>
      <c r="F65" s="47">
        <v>1</v>
      </c>
      <c r="G65" s="499">
        <f>+'Biểu 11 Giao thông'!K42</f>
        <v>15.642391886070826</v>
      </c>
      <c r="H65" s="490">
        <f aca="true" t="shared" si="2" ref="H65:H71">ROUND(IF(G65&gt;E65,F65,(IF(G65&lt;D66,0,(IF(G65&lt;E66,F66,FORECAST(G65,F65:F66,E65:E66)))))),2)</f>
        <v>0.98</v>
      </c>
      <c r="I65" s="478" t="str">
        <f t="shared" si="1"/>
        <v>Trung bình</v>
      </c>
      <c r="J65" s="481"/>
      <c r="K65" s="509"/>
      <c r="L65" s="492"/>
    </row>
    <row r="66" spans="1:12" ht="18.75">
      <c r="A66" s="486"/>
      <c r="B66" s="438"/>
      <c r="C66" s="11">
        <v>11</v>
      </c>
      <c r="D66" s="11">
        <f>+C66*0.7</f>
        <v>7.699999999999999</v>
      </c>
      <c r="E66" s="191">
        <f>+C66</f>
        <v>11</v>
      </c>
      <c r="F66" s="46">
        <v>0.75</v>
      </c>
      <c r="G66" s="499"/>
      <c r="H66" s="490"/>
      <c r="I66" s="478"/>
      <c r="J66" s="482"/>
      <c r="K66" s="509"/>
      <c r="L66" s="492"/>
    </row>
    <row r="67" spans="1:12" ht="18.75">
      <c r="A67" s="485" t="s">
        <v>66</v>
      </c>
      <c r="B67" s="496" t="s">
        <v>569</v>
      </c>
      <c r="C67" s="11" t="s">
        <v>146</v>
      </c>
      <c r="D67" s="11" t="str">
        <f>+C67</f>
        <v>≥6</v>
      </c>
      <c r="E67" s="191">
        <v>6</v>
      </c>
      <c r="F67" s="47">
        <v>2</v>
      </c>
      <c r="G67" s="499">
        <f>'Biểu 11 Giao thông'!K44</f>
        <v>5.448931587672466</v>
      </c>
      <c r="H67" s="490">
        <f t="shared" si="2"/>
        <v>1.72</v>
      </c>
      <c r="I67" s="478" t="str">
        <f t="shared" si="1"/>
        <v>Trung bình</v>
      </c>
      <c r="J67" s="505"/>
      <c r="K67" s="509"/>
      <c r="L67" s="492"/>
    </row>
    <row r="68" spans="1:12" ht="18.75">
      <c r="A68" s="486"/>
      <c r="B68" s="497"/>
      <c r="C68" s="11">
        <v>5</v>
      </c>
      <c r="D68" s="11">
        <f>+C68*0.7</f>
        <v>3.5</v>
      </c>
      <c r="E68" s="191">
        <f>+C68</f>
        <v>5</v>
      </c>
      <c r="F68" s="46">
        <v>1.5</v>
      </c>
      <c r="G68" s="499"/>
      <c r="H68" s="490"/>
      <c r="I68" s="478"/>
      <c r="J68" s="505"/>
      <c r="K68" s="509"/>
      <c r="L68" s="492"/>
    </row>
    <row r="69" spans="1:12" s="50" customFormat="1" ht="18.75">
      <c r="A69" s="485" t="s">
        <v>67</v>
      </c>
      <c r="B69" s="496" t="s">
        <v>147</v>
      </c>
      <c r="C69" s="49" t="s">
        <v>148</v>
      </c>
      <c r="D69" s="49" t="str">
        <f>+C69</f>
        <v>≥7</v>
      </c>
      <c r="E69" s="191">
        <v>6</v>
      </c>
      <c r="F69" s="47">
        <v>1</v>
      </c>
      <c r="G69" s="499">
        <f>('Biểu 6 Cơ cấu SDD'!C16+'Biểu 6 Cơ cấu SDD'!C20)*10000/('Biểu 2 Chi tiêu KTXH'!F12)</f>
        <v>55.28455434582026</v>
      </c>
      <c r="H69" s="490">
        <f t="shared" si="2"/>
        <v>1</v>
      </c>
      <c r="I69" s="478" t="str">
        <f t="shared" si="1"/>
        <v>Tối đa</v>
      </c>
      <c r="J69" s="481"/>
      <c r="K69" s="509"/>
      <c r="L69" s="492"/>
    </row>
    <row r="70" spans="1:12" s="50" customFormat="1" ht="18.75">
      <c r="A70" s="486"/>
      <c r="B70" s="497"/>
      <c r="C70" s="49">
        <v>5</v>
      </c>
      <c r="D70" s="49">
        <f>+C70*0.7</f>
        <v>3.5</v>
      </c>
      <c r="E70" s="191">
        <f>+C70</f>
        <v>5</v>
      </c>
      <c r="F70" s="46">
        <v>0.75</v>
      </c>
      <c r="G70" s="499"/>
      <c r="H70" s="490"/>
      <c r="I70" s="478"/>
      <c r="J70" s="482"/>
      <c r="K70" s="509"/>
      <c r="L70" s="492"/>
    </row>
    <row r="71" spans="1:12" ht="18.75">
      <c r="A71" s="485" t="s">
        <v>68</v>
      </c>
      <c r="B71" s="496" t="s">
        <v>64</v>
      </c>
      <c r="C71" s="11" t="s">
        <v>140</v>
      </c>
      <c r="D71" s="11" t="str">
        <f>+C71</f>
        <v>≥2</v>
      </c>
      <c r="E71" s="191">
        <v>2</v>
      </c>
      <c r="F71" s="47">
        <v>1</v>
      </c>
      <c r="G71" s="499">
        <f>'Biểu 12 Vận tải công cộng'!D9</f>
        <v>2.0421972073568306</v>
      </c>
      <c r="H71" s="490">
        <f t="shared" si="2"/>
        <v>1</v>
      </c>
      <c r="I71" s="478" t="str">
        <f t="shared" si="1"/>
        <v>Tối đa</v>
      </c>
      <c r="J71" s="481"/>
      <c r="K71" s="491" t="s">
        <v>352</v>
      </c>
      <c r="L71" s="501" t="str">
        <f>'THÔNG TIN CHUNG'!B17</f>
        <v>TRUNG TÂM MÔI TRƯỜNG VÀ DỊCH VỤ ĐÔ THỊ</v>
      </c>
    </row>
    <row r="72" spans="1:12" ht="18.75">
      <c r="A72" s="486"/>
      <c r="B72" s="497"/>
      <c r="C72" s="11">
        <v>1</v>
      </c>
      <c r="D72" s="11">
        <f>+C72*0.7</f>
        <v>0.7</v>
      </c>
      <c r="E72" s="191">
        <f>+C72</f>
        <v>1</v>
      </c>
      <c r="F72" s="46">
        <v>0.75</v>
      </c>
      <c r="G72" s="499"/>
      <c r="H72" s="490"/>
      <c r="I72" s="478"/>
      <c r="J72" s="482"/>
      <c r="K72" s="491"/>
      <c r="L72" s="501"/>
    </row>
    <row r="73" spans="1:12" ht="18.75">
      <c r="A73" s="24" t="s">
        <v>13</v>
      </c>
      <c r="B73" s="32" t="s">
        <v>102</v>
      </c>
      <c r="C73" s="24"/>
      <c r="D73" s="11"/>
      <c r="E73" s="191"/>
      <c r="F73" s="43" t="s">
        <v>70</v>
      </c>
      <c r="G73" s="325"/>
      <c r="H73" s="299">
        <f>SUM(H74:H79)</f>
        <v>2.75</v>
      </c>
      <c r="I73" s="24"/>
      <c r="J73" s="158"/>
      <c r="K73" s="70"/>
      <c r="L73" s="72"/>
    </row>
    <row r="74" spans="1:12" s="22" customFormat="1" ht="18.75">
      <c r="A74" s="485" t="s">
        <v>69</v>
      </c>
      <c r="B74" s="437" t="s">
        <v>149</v>
      </c>
      <c r="C74" s="11" t="s">
        <v>150</v>
      </c>
      <c r="D74" s="11" t="str">
        <f>+C74</f>
        <v>≥1000</v>
      </c>
      <c r="E74" s="191">
        <v>1000</v>
      </c>
      <c r="F74" s="47">
        <v>1</v>
      </c>
      <c r="G74" s="499">
        <f>'Biểu 13 Cấp điện'!C8/(G26*1000)</f>
        <v>322.48453427065033</v>
      </c>
      <c r="H74" s="490">
        <f>ROUND(IF(G74&gt;E74,F74,(IF(G74&lt;D75,0,(IF(G74&lt;E75,F75,FORECAST(G74,F74:F75,E74:E75)))))),2)</f>
        <v>0.75</v>
      </c>
      <c r="I74" s="478" t="str">
        <f>+IF(H74=F74,"Tối đa",IF(H74&gt;F75,"Trung bình",IF(H74=F75,"Tối thiểu","Không đạt")))</f>
        <v>Tối thiểu</v>
      </c>
      <c r="J74" s="481"/>
      <c r="K74" s="491" t="s">
        <v>245</v>
      </c>
      <c r="L74" s="501" t="str">
        <f>'THÔNG TIN CHUNG'!B23</f>
        <v>ĐIỆN LỰC KON RẪY</v>
      </c>
    </row>
    <row r="75" spans="1:12" s="22" customFormat="1" ht="18.75">
      <c r="A75" s="486"/>
      <c r="B75" s="438"/>
      <c r="C75" s="11">
        <v>400</v>
      </c>
      <c r="D75" s="11">
        <f>+C75*0.7</f>
        <v>280</v>
      </c>
      <c r="E75" s="191">
        <f>+C75</f>
        <v>400</v>
      </c>
      <c r="F75" s="46">
        <v>0.75</v>
      </c>
      <c r="G75" s="499"/>
      <c r="H75" s="490"/>
      <c r="I75" s="478"/>
      <c r="J75" s="482"/>
      <c r="K75" s="491"/>
      <c r="L75" s="501"/>
    </row>
    <row r="76" spans="1:12" ht="18.75">
      <c r="A76" s="485" t="s">
        <v>71</v>
      </c>
      <c r="B76" s="437" t="s">
        <v>151</v>
      </c>
      <c r="C76" s="11" t="s">
        <v>134</v>
      </c>
      <c r="D76" s="11" t="str">
        <f>+C76</f>
        <v>≥90</v>
      </c>
      <c r="E76" s="191">
        <v>90</v>
      </c>
      <c r="F76" s="47">
        <v>1</v>
      </c>
      <c r="G76" s="499">
        <f>'Biểu 11 Giao thông'!K45</f>
        <v>100</v>
      </c>
      <c r="H76" s="490">
        <f>ROUND(IF(G76&gt;E76,F76,(IF(G76&lt;D77,0,(IF(G76&lt;E77,F77,FORECAST(G76,F76:F77,E76:E77)))))),2)</f>
        <v>1</v>
      </c>
      <c r="I76" s="478" t="str">
        <f>+IF(H76=F76,"Tối đa",IF(H76&gt;F77,"Trung bình",IF(H76=F77,"Tối thiểu","Không đạt")))</f>
        <v>Tối đa</v>
      </c>
      <c r="J76" s="481"/>
      <c r="K76" s="509" t="s">
        <v>243</v>
      </c>
      <c r="L76" s="492" t="str">
        <f>L63</f>
        <v>UBND XÃ ĐĂK RUỒNG</v>
      </c>
    </row>
    <row r="77" spans="1:12" ht="18.75">
      <c r="A77" s="486"/>
      <c r="B77" s="438"/>
      <c r="C77" s="11">
        <v>80</v>
      </c>
      <c r="D77" s="11">
        <f>+C77*0.7</f>
        <v>56</v>
      </c>
      <c r="E77" s="191">
        <v>80</v>
      </c>
      <c r="F77" s="46">
        <v>0.75</v>
      </c>
      <c r="G77" s="499"/>
      <c r="H77" s="490"/>
      <c r="I77" s="478"/>
      <c r="J77" s="482"/>
      <c r="K77" s="509"/>
      <c r="L77" s="492"/>
    </row>
    <row r="78" spans="1:12" ht="18.75">
      <c r="A78" s="485" t="s">
        <v>72</v>
      </c>
      <c r="B78" s="556" t="s">
        <v>152</v>
      </c>
      <c r="C78" s="11" t="s">
        <v>154</v>
      </c>
      <c r="D78" s="11" t="str">
        <f>+C78</f>
        <v>≥70</v>
      </c>
      <c r="E78" s="191">
        <v>70</v>
      </c>
      <c r="F78" s="47">
        <v>1</v>
      </c>
      <c r="G78" s="499">
        <f>'Biểu 11 Giao thông'!K46</f>
        <v>100</v>
      </c>
      <c r="H78" s="490">
        <f>ROUND(IF(G78&gt;E78,F78,(IF(G78&lt;D79,0,(IF(G78&lt;E79,F79,FORECAST(G78,F78:F79,E78:E79)))))),2)</f>
        <v>1</v>
      </c>
      <c r="I78" s="478" t="str">
        <f>+IF(H78=F78,"Tối đa",IF(H78&gt;F79,"Trung bình",IF(H78=F79,"Tối thiểu","Không đạt")))</f>
        <v>Tối đa</v>
      </c>
      <c r="J78" s="481"/>
      <c r="K78" s="509"/>
      <c r="L78" s="492"/>
    </row>
    <row r="79" spans="1:12" ht="18.75">
      <c r="A79" s="486"/>
      <c r="B79" s="557"/>
      <c r="C79" s="11">
        <v>50</v>
      </c>
      <c r="D79" s="11">
        <f>+C79*0.7</f>
        <v>35</v>
      </c>
      <c r="E79" s="191">
        <v>50</v>
      </c>
      <c r="F79" s="46">
        <v>0.75</v>
      </c>
      <c r="G79" s="499"/>
      <c r="H79" s="490"/>
      <c r="I79" s="478"/>
      <c r="J79" s="482"/>
      <c r="K79" s="509"/>
      <c r="L79" s="492"/>
    </row>
    <row r="80" spans="1:12" ht="18.75">
      <c r="A80" s="24" t="s">
        <v>24</v>
      </c>
      <c r="B80" s="25" t="s">
        <v>73</v>
      </c>
      <c r="C80" s="24"/>
      <c r="D80" s="31"/>
      <c r="E80" s="197"/>
      <c r="F80" s="43" t="s">
        <v>70</v>
      </c>
      <c r="G80" s="325"/>
      <c r="H80" s="299">
        <f>SUM(H81:H84)</f>
        <v>1.9300000000000002</v>
      </c>
      <c r="I80" s="24"/>
      <c r="J80" s="158"/>
      <c r="K80" s="70"/>
      <c r="L80" s="72"/>
    </row>
    <row r="81" spans="1:12" ht="18.75">
      <c r="A81" s="485" t="s">
        <v>74</v>
      </c>
      <c r="B81" s="496" t="s">
        <v>573</v>
      </c>
      <c r="C81" s="11" t="s">
        <v>153</v>
      </c>
      <c r="D81" s="11" t="str">
        <f>+C81</f>
        <v>≥100</v>
      </c>
      <c r="E81" s="191">
        <v>100</v>
      </c>
      <c r="F81" s="47">
        <v>1</v>
      </c>
      <c r="G81" s="499">
        <f>'Biểu 14 Cấp nước'!C21*1000/('Biểu 14 Cấp nước'!C18)</f>
        <v>101.39334737969172</v>
      </c>
      <c r="H81" s="490">
        <f>ROUND(IF(G81&gt;E81,F81,(IF(G81&lt;D82,0,(IF(G81&lt;E82,F82,FORECAST(G81,F81:F82,E81:E82)))))),2)</f>
        <v>1</v>
      </c>
      <c r="I81" s="478" t="str">
        <f>+IF(H81=F81,"Tối đa",IF(H81&gt;F82,"Trung bình",IF(H81=F82,"Tối thiểu","Không đạt")))</f>
        <v>Tối đa</v>
      </c>
      <c r="J81" s="481"/>
      <c r="K81" s="491" t="s">
        <v>355</v>
      </c>
      <c r="L81" s="501" t="str">
        <f>L71</f>
        <v>TRUNG TÂM MÔI TRƯỜNG VÀ DỊCH VỤ ĐÔ THỊ</v>
      </c>
    </row>
    <row r="82" spans="1:12" ht="18.75">
      <c r="A82" s="486"/>
      <c r="B82" s="497"/>
      <c r="C82" s="11">
        <v>80</v>
      </c>
      <c r="D82" s="11">
        <f>+C82*0.7</f>
        <v>56</v>
      </c>
      <c r="E82" s="191">
        <f>+C82</f>
        <v>80</v>
      </c>
      <c r="F82" s="46">
        <v>0.75</v>
      </c>
      <c r="G82" s="499"/>
      <c r="H82" s="490"/>
      <c r="I82" s="478"/>
      <c r="J82" s="482"/>
      <c r="K82" s="491"/>
      <c r="L82" s="501"/>
    </row>
    <row r="83" spans="1:12" s="4" customFormat="1" ht="28.5" customHeight="1">
      <c r="A83" s="485" t="s">
        <v>75</v>
      </c>
      <c r="B83" s="496" t="s">
        <v>155</v>
      </c>
      <c r="C83" s="11" t="s">
        <v>156</v>
      </c>
      <c r="D83" s="11" t="str">
        <f>+C83</f>
        <v>≥95</v>
      </c>
      <c r="E83" s="191">
        <v>95</v>
      </c>
      <c r="F83" s="47">
        <v>1</v>
      </c>
      <c r="G83" s="499">
        <f>'Biểu 14 Cấp nước'!C18/('Biểu 2 Chi tiêu KTXH'!F12)*100</f>
        <v>91</v>
      </c>
      <c r="H83" s="490">
        <f>ROUND(IF(G83&gt;E83,F83,(IF(G83&lt;D84,0,(IF(G83&lt;E84,F84,FORECAST(G83,F83:F84,E83:E84)))))),2)</f>
        <v>0.93</v>
      </c>
      <c r="I83" s="478" t="str">
        <f>+IF(H83=F83,"Tối đa",IF(H83&gt;F84,"Trung bình",IF(H83=F84,"Tối thiểu","Không đạt")))</f>
        <v>Trung bình</v>
      </c>
      <c r="J83" s="507"/>
      <c r="K83" s="491"/>
      <c r="L83" s="501"/>
    </row>
    <row r="84" spans="1:12" s="4" customFormat="1" ht="28.5" customHeight="1">
      <c r="A84" s="486"/>
      <c r="B84" s="497"/>
      <c r="C84" s="11">
        <v>80</v>
      </c>
      <c r="D84" s="11">
        <f>+C84*0.7</f>
        <v>56</v>
      </c>
      <c r="E84" s="191">
        <f>+C84</f>
        <v>80</v>
      </c>
      <c r="F84" s="46">
        <v>0.75</v>
      </c>
      <c r="G84" s="499"/>
      <c r="H84" s="490"/>
      <c r="I84" s="478"/>
      <c r="J84" s="508"/>
      <c r="K84" s="491"/>
      <c r="L84" s="501"/>
    </row>
    <row r="85" spans="1:12" ht="18.75">
      <c r="A85" s="24" t="s">
        <v>23</v>
      </c>
      <c r="B85" s="25" t="s">
        <v>76</v>
      </c>
      <c r="C85" s="24"/>
      <c r="D85" s="31"/>
      <c r="E85" s="197"/>
      <c r="F85" s="43" t="s">
        <v>78</v>
      </c>
      <c r="G85" s="325"/>
      <c r="H85" s="299">
        <f>SUM(H86:H91)</f>
        <v>2.56</v>
      </c>
      <c r="I85" s="24"/>
      <c r="J85" s="158"/>
      <c r="K85" s="70"/>
      <c r="L85" s="72"/>
    </row>
    <row r="86" spans="1:12" s="23" customFormat="1" ht="18.75">
      <c r="A86" s="485" t="s">
        <v>160</v>
      </c>
      <c r="B86" s="496" t="s">
        <v>199</v>
      </c>
      <c r="C86" s="11" t="s">
        <v>157</v>
      </c>
      <c r="D86" s="11" t="str">
        <f>+C86</f>
        <v>≥80</v>
      </c>
      <c r="E86" s="191">
        <v>80</v>
      </c>
      <c r="F86" s="47">
        <v>1</v>
      </c>
      <c r="G86" s="499">
        <f>'Biểu 15 Viễn thông'!C10/('Biểu 2 Chi tiêu KTXH'!F12)*100</f>
        <v>71.04631850895</v>
      </c>
      <c r="H86" s="490">
        <f>ROUND(IF(G86&gt;E86,F86,(IF(G86&lt;D87,0,(IF(G86&lt;E87,F87,FORECAST(G86,F86:F87,E86:E87)))))),2)</f>
        <v>0.78</v>
      </c>
      <c r="I86" s="478" t="str">
        <f>+IF(H86=F86,"Tối đa",IF(H86&gt;F87,"Trung bình",IF(H86=F87,"Tối thiểu","Không đạt")))</f>
        <v>Trung bình</v>
      </c>
      <c r="J86" s="481"/>
      <c r="K86" s="491" t="s">
        <v>356</v>
      </c>
      <c r="L86" s="501" t="str">
        <f>L55</f>
        <v>PHÒNG VĂN HÓA - THÔNG TIN</v>
      </c>
    </row>
    <row r="87" spans="1:12" s="23" customFormat="1" ht="18.75">
      <c r="A87" s="486"/>
      <c r="B87" s="497"/>
      <c r="C87" s="11">
        <v>70</v>
      </c>
      <c r="D87" s="11">
        <f>+C87*0.7</f>
        <v>49</v>
      </c>
      <c r="E87" s="191">
        <f>+C87</f>
        <v>70</v>
      </c>
      <c r="F87" s="46">
        <v>0.75</v>
      </c>
      <c r="G87" s="499"/>
      <c r="H87" s="490"/>
      <c r="I87" s="478"/>
      <c r="J87" s="482"/>
      <c r="K87" s="491"/>
      <c r="L87" s="501"/>
    </row>
    <row r="88" spans="1:12" s="23" customFormat="1" ht="18.75">
      <c r="A88" s="485" t="s">
        <v>77</v>
      </c>
      <c r="B88" s="496" t="s">
        <v>159</v>
      </c>
      <c r="C88" s="11">
        <v>100</v>
      </c>
      <c r="D88" s="11">
        <f>+C88</f>
        <v>100</v>
      </c>
      <c r="E88" s="191">
        <f>+C88</f>
        <v>100</v>
      </c>
      <c r="F88" s="47">
        <v>1</v>
      </c>
      <c r="G88" s="499">
        <f>'Biểu 15 Viễn thông'!D10/'Biểu 5 Nhà ở'!C16%</f>
        <v>65.49925484351714</v>
      </c>
      <c r="H88" s="490">
        <f>ROUND(IF(G88&gt;E88,F88,(IF(G88&lt;D89,0,(IF(G88&lt;E89,F89,FORECAST(G88,F88:F89,E88:E89)))))),2)</f>
        <v>0.78</v>
      </c>
      <c r="I88" s="478" t="str">
        <f>+IF(H88=F88,"Tối đa",IF(H88&gt;F89,"Trung bình",IF(H88=F89,"Tối thiểu","Không đạt")))</f>
        <v>Trung bình</v>
      </c>
      <c r="J88" s="481"/>
      <c r="K88" s="491"/>
      <c r="L88" s="501"/>
    </row>
    <row r="89" spans="1:12" s="23" customFormat="1" ht="18.75">
      <c r="A89" s="486"/>
      <c r="B89" s="497"/>
      <c r="C89" s="11">
        <v>60</v>
      </c>
      <c r="D89" s="11">
        <f>+C89*0.7</f>
        <v>42</v>
      </c>
      <c r="E89" s="191">
        <f>+C89</f>
        <v>60</v>
      </c>
      <c r="F89" s="46">
        <v>0.75</v>
      </c>
      <c r="G89" s="499"/>
      <c r="H89" s="490"/>
      <c r="I89" s="478"/>
      <c r="J89" s="482"/>
      <c r="K89" s="491"/>
      <c r="L89" s="501"/>
    </row>
    <row r="90" spans="1:12" s="23" customFormat="1" ht="18.75">
      <c r="A90" s="485" t="s">
        <v>158</v>
      </c>
      <c r="B90" s="496" t="s">
        <v>161</v>
      </c>
      <c r="C90" s="11" t="s">
        <v>109</v>
      </c>
      <c r="D90" s="11" t="str">
        <f>+C90</f>
        <v>≥50</v>
      </c>
      <c r="E90" s="191">
        <v>50</v>
      </c>
      <c r="F90" s="47">
        <v>1</v>
      </c>
      <c r="G90" s="499">
        <f>'Biểu 16 DV công trực tuyến'!D11</f>
        <v>51.74</v>
      </c>
      <c r="H90" s="490">
        <f>ROUND(IF(G90&gt;E90,F90,(IF(G90&lt;D91,0,(IF(G90&lt;E91,F91,FORECAST(G90,F90:F91,E90:E91)))))),2)</f>
        <v>1</v>
      </c>
      <c r="I90" s="478" t="str">
        <f>+IF(H90=F90,"Tối đa",IF(H90&gt;F91,"Trung bình",IF(H90=F91,"Tối thiểu","Không đạt")))</f>
        <v>Tối đa</v>
      </c>
      <c r="J90" s="481"/>
      <c r="K90" s="491" t="s">
        <v>357</v>
      </c>
      <c r="L90" s="501" t="str">
        <f>'THÔNG TIN CHUNG'!B19</f>
        <v>VĂN PHÒNG HĐND-UBND</v>
      </c>
    </row>
    <row r="91" spans="1:12" s="50" customFormat="1" ht="18.75">
      <c r="A91" s="486"/>
      <c r="B91" s="497"/>
      <c r="C91" s="49">
        <v>20</v>
      </c>
      <c r="D91" s="49">
        <f>+C91*0.7</f>
        <v>14</v>
      </c>
      <c r="E91" s="191">
        <f>+C91</f>
        <v>20</v>
      </c>
      <c r="F91" s="46">
        <v>0.75</v>
      </c>
      <c r="G91" s="499"/>
      <c r="H91" s="490"/>
      <c r="I91" s="478"/>
      <c r="J91" s="482"/>
      <c r="K91" s="491"/>
      <c r="L91" s="501"/>
    </row>
    <row r="92" spans="1:12" ht="18.75">
      <c r="A92" s="145" t="s">
        <v>30</v>
      </c>
      <c r="B92" s="153" t="s">
        <v>162</v>
      </c>
      <c r="C92" s="145"/>
      <c r="D92" s="154"/>
      <c r="E92" s="191"/>
      <c r="F92" s="147" t="s">
        <v>79</v>
      </c>
      <c r="G92" s="352"/>
      <c r="H92" s="149">
        <f>H93+H98+H108+H113</f>
        <v>11.75</v>
      </c>
      <c r="I92" s="145"/>
      <c r="J92" s="158"/>
      <c r="K92" s="70"/>
      <c r="L92" s="72"/>
    </row>
    <row r="93" spans="1:12" s="8" customFormat="1" ht="31.5">
      <c r="A93" s="24" t="s">
        <v>12</v>
      </c>
      <c r="B93" s="32" t="s">
        <v>163</v>
      </c>
      <c r="C93" s="24"/>
      <c r="D93" s="11"/>
      <c r="E93" s="191"/>
      <c r="F93" s="43" t="s">
        <v>70</v>
      </c>
      <c r="G93" s="325"/>
      <c r="H93" s="299">
        <f>SUM(H94:H97)</f>
        <v>3</v>
      </c>
      <c r="I93" s="24"/>
      <c r="J93" s="158"/>
      <c r="K93" s="70"/>
      <c r="L93" s="72"/>
    </row>
    <row r="94" spans="1:12" s="8" customFormat="1" ht="18.75">
      <c r="A94" s="485" t="s">
        <v>80</v>
      </c>
      <c r="B94" s="496" t="s">
        <v>110</v>
      </c>
      <c r="C94" s="11" t="s">
        <v>164</v>
      </c>
      <c r="D94" s="11" t="str">
        <f>+C94</f>
        <v>≥3</v>
      </c>
      <c r="E94" s="191">
        <v>3</v>
      </c>
      <c r="F94" s="47">
        <v>2</v>
      </c>
      <c r="G94" s="499">
        <f>'Biểu 11 Giao thông'!K47</f>
        <v>11.986508112623842</v>
      </c>
      <c r="H94" s="490">
        <f>ROUND(IF(G94&gt;E94,F94,(IF(G94&lt;D95,0,(IF(G94&lt;E95,F95,FORECAST(G94,F94:F95,E94:E95)))))),2)</f>
        <v>2</v>
      </c>
      <c r="I94" s="478" t="str">
        <f>+IF(H94=F94,"Tối đa",IF(H94&gt;F95,"Trung bình",IF(H94=F95,"Tối thiểu","Không đạt")))</f>
        <v>Tối đa</v>
      </c>
      <c r="J94" s="481"/>
      <c r="K94" s="491" t="str">
        <f>K76</f>
        <v>Biểu 11</v>
      </c>
      <c r="L94" s="492" t="str">
        <f>L76</f>
        <v>UBND XÃ ĐĂK RUỒNG</v>
      </c>
    </row>
    <row r="95" spans="1:12" s="8" customFormat="1" ht="18.75">
      <c r="A95" s="486"/>
      <c r="B95" s="497"/>
      <c r="C95" s="11">
        <v>2.5</v>
      </c>
      <c r="D95" s="49">
        <f>+C95*0.7</f>
        <v>1.75</v>
      </c>
      <c r="E95" s="191">
        <f>+C95</f>
        <v>2.5</v>
      </c>
      <c r="F95" s="46">
        <v>1.5</v>
      </c>
      <c r="G95" s="499"/>
      <c r="H95" s="490"/>
      <c r="I95" s="478"/>
      <c r="J95" s="482"/>
      <c r="K95" s="491"/>
      <c r="L95" s="492"/>
    </row>
    <row r="96" spans="1:12" s="8" customFormat="1" ht="18.75">
      <c r="A96" s="485" t="s">
        <v>81</v>
      </c>
      <c r="B96" s="496" t="s">
        <v>165</v>
      </c>
      <c r="C96" s="52" t="s">
        <v>166</v>
      </c>
      <c r="D96" s="49" t="str">
        <f>+C96</f>
        <v>≥20</v>
      </c>
      <c r="E96" s="191">
        <v>20</v>
      </c>
      <c r="F96" s="47">
        <v>1</v>
      </c>
      <c r="G96" s="573" t="s">
        <v>436</v>
      </c>
      <c r="H96" s="571">
        <v>1</v>
      </c>
      <c r="I96" s="572" t="str">
        <f>+IF(H96=F96,"Tối đa",IF(H96&gt;F97,"Trung bình",IF(H96=F97,"Tối thiểu","Không đạt")))</f>
        <v>Tối đa</v>
      </c>
      <c r="J96" s="481"/>
      <c r="K96" s="491" t="s">
        <v>366</v>
      </c>
      <c r="L96" s="492"/>
    </row>
    <row r="97" spans="1:12" s="8" customFormat="1" ht="18.75">
      <c r="A97" s="486"/>
      <c r="B97" s="497"/>
      <c r="C97" s="52">
        <v>10</v>
      </c>
      <c r="D97" s="49">
        <f>+C97*0.7</f>
        <v>7</v>
      </c>
      <c r="E97" s="191">
        <f>+C97</f>
        <v>10</v>
      </c>
      <c r="F97" s="46">
        <v>0.75</v>
      </c>
      <c r="G97" s="573"/>
      <c r="H97" s="571"/>
      <c r="I97" s="572"/>
      <c r="J97" s="482"/>
      <c r="K97" s="491"/>
      <c r="L97" s="492"/>
    </row>
    <row r="98" spans="1:12" ht="33" customHeight="1">
      <c r="A98" s="24" t="s">
        <v>20</v>
      </c>
      <c r="B98" s="32" t="s">
        <v>82</v>
      </c>
      <c r="C98" s="24"/>
      <c r="D98" s="31"/>
      <c r="E98" s="197"/>
      <c r="F98" s="43" t="s">
        <v>87</v>
      </c>
      <c r="G98" s="325"/>
      <c r="H98" s="299">
        <f>SUM(H99:H107)</f>
        <v>3.5</v>
      </c>
      <c r="I98" s="24"/>
      <c r="J98" s="158"/>
      <c r="K98" s="70"/>
      <c r="L98" s="72"/>
    </row>
    <row r="99" spans="1:12" ht="18.75">
      <c r="A99" s="485" t="s">
        <v>83</v>
      </c>
      <c r="B99" s="569" t="s">
        <v>167</v>
      </c>
      <c r="C99" s="7" t="s">
        <v>168</v>
      </c>
      <c r="D99" s="49" t="str">
        <f>+C99</f>
        <v>≥15</v>
      </c>
      <c r="E99" s="191">
        <v>15</v>
      </c>
      <c r="F99" s="47">
        <v>2</v>
      </c>
      <c r="G99" s="570" t="s">
        <v>612</v>
      </c>
      <c r="H99" s="571">
        <v>0</v>
      </c>
      <c r="I99" s="572" t="str">
        <f aca="true" t="shared" si="3" ref="I99:I105">+IF(H99=F99,"Tối đa",IF(H99&gt;F100,"Trung bình",IF(H99=F100,"Tối thiểu","Không đạt")))</f>
        <v>Không đạt</v>
      </c>
      <c r="J99" s="505"/>
      <c r="K99" s="70"/>
      <c r="L99" s="72"/>
    </row>
    <row r="100" spans="1:12" ht="18.75">
      <c r="A100" s="486"/>
      <c r="B100" s="569"/>
      <c r="C100" s="185">
        <v>10</v>
      </c>
      <c r="D100" s="49">
        <f>+C100*0.7</f>
        <v>7</v>
      </c>
      <c r="E100" s="191">
        <f aca="true" t="shared" si="4" ref="E100:E106">+C100</f>
        <v>10</v>
      </c>
      <c r="F100" s="46">
        <v>1.5</v>
      </c>
      <c r="G100" s="570"/>
      <c r="H100" s="571"/>
      <c r="I100" s="572"/>
      <c r="J100" s="505"/>
      <c r="K100" s="164"/>
      <c r="L100" s="165"/>
    </row>
    <row r="101" spans="1:12" ht="18.75">
      <c r="A101" s="485" t="s">
        <v>437</v>
      </c>
      <c r="B101" s="496" t="s">
        <v>169</v>
      </c>
      <c r="C101" s="11" t="s">
        <v>170</v>
      </c>
      <c r="D101" s="49" t="str">
        <f>+C101</f>
        <v>≥85</v>
      </c>
      <c r="E101" s="191">
        <v>85</v>
      </c>
      <c r="F101" s="47">
        <v>1</v>
      </c>
      <c r="G101" s="499">
        <f>'Biểu 18 Thu gom CTR'!E11</f>
        <v>100</v>
      </c>
      <c r="H101" s="490">
        <f>ROUND(IF(G101&gt;E101,F101,(IF(G101&lt;D102,0,(IF(G101&lt;E102,F102,FORECAST(G101,F101:F102,E101:E102)))))),2)</f>
        <v>1</v>
      </c>
      <c r="I101" s="478" t="str">
        <f t="shared" si="3"/>
        <v>Tối đa</v>
      </c>
      <c r="J101" s="481"/>
      <c r="K101" s="491" t="s">
        <v>371</v>
      </c>
      <c r="L101" s="501" t="str">
        <f>L81</f>
        <v>TRUNG TÂM MÔI TRƯỜNG VÀ DỊCH VỤ ĐÔ THỊ</v>
      </c>
    </row>
    <row r="102" spans="1:12" ht="18.75">
      <c r="A102" s="486"/>
      <c r="B102" s="497"/>
      <c r="C102" s="11">
        <v>70</v>
      </c>
      <c r="D102" s="49">
        <f>+C102*0.7</f>
        <v>49</v>
      </c>
      <c r="E102" s="191">
        <f t="shared" si="4"/>
        <v>70</v>
      </c>
      <c r="F102" s="46">
        <v>0.75</v>
      </c>
      <c r="G102" s="499"/>
      <c r="H102" s="490"/>
      <c r="I102" s="478"/>
      <c r="J102" s="482"/>
      <c r="K102" s="491"/>
      <c r="L102" s="501"/>
    </row>
    <row r="103" spans="1:12" ht="18.75">
      <c r="A103" s="485" t="s">
        <v>85</v>
      </c>
      <c r="B103" s="496" t="s">
        <v>84</v>
      </c>
      <c r="C103" s="11" t="s">
        <v>134</v>
      </c>
      <c r="D103" s="49" t="str">
        <f>+C103</f>
        <v>≥90</v>
      </c>
      <c r="E103" s="191">
        <v>90</v>
      </c>
      <c r="F103" s="47">
        <v>1</v>
      </c>
      <c r="G103" s="499">
        <f>'Biểu 18 Thu gom CTR'!E14</f>
        <v>93.5</v>
      </c>
      <c r="H103" s="490">
        <f>ROUND(IF(G103&gt;E103,F103,(IF(G103&lt;D104,0,(IF(G103&lt;E104,F104,FORECAST(G103,F103:F104,E103:E104)))))),2)</f>
        <v>1</v>
      </c>
      <c r="I103" s="478" t="str">
        <f t="shared" si="3"/>
        <v>Tối đa</v>
      </c>
      <c r="J103" s="481"/>
      <c r="K103" s="491"/>
      <c r="L103" s="501"/>
    </row>
    <row r="104" spans="1:12" ht="18.75">
      <c r="A104" s="486"/>
      <c r="B104" s="497"/>
      <c r="C104" s="11">
        <v>80</v>
      </c>
      <c r="D104" s="49">
        <f>+C104*0.7</f>
        <v>56</v>
      </c>
      <c r="E104" s="191">
        <f t="shared" si="4"/>
        <v>80</v>
      </c>
      <c r="F104" s="46">
        <v>0.75</v>
      </c>
      <c r="G104" s="499"/>
      <c r="H104" s="490"/>
      <c r="I104" s="478"/>
      <c r="J104" s="482"/>
      <c r="K104" s="491"/>
      <c r="L104" s="501"/>
    </row>
    <row r="105" spans="1:12" ht="18.75">
      <c r="A105" s="485" t="s">
        <v>86</v>
      </c>
      <c r="B105" s="496" t="s">
        <v>171</v>
      </c>
      <c r="C105" s="11" t="s">
        <v>172</v>
      </c>
      <c r="D105" s="49" t="str">
        <f>+C105</f>
        <v>≥65</v>
      </c>
      <c r="E105" s="191">
        <v>60</v>
      </c>
      <c r="F105" s="47">
        <v>1</v>
      </c>
      <c r="G105" s="499">
        <f>'Biểu 18 Thu gom CTR'!E15</f>
        <v>93.5</v>
      </c>
      <c r="H105" s="490">
        <f>ROUND(IF(G105&gt;E105,F105,(IF(G105&lt;D106,0,(IF(G105&lt;E106,F106,FORECAST(G105,F105:F106,E105:E106)))))),2)</f>
        <v>1</v>
      </c>
      <c r="I105" s="478" t="str">
        <f t="shared" si="3"/>
        <v>Tối đa</v>
      </c>
      <c r="J105" s="481"/>
      <c r="K105" s="491"/>
      <c r="L105" s="501"/>
    </row>
    <row r="106" spans="1:12" ht="18.75">
      <c r="A106" s="486"/>
      <c r="B106" s="497"/>
      <c r="C106" s="11">
        <v>60</v>
      </c>
      <c r="D106" s="49">
        <f>+C106*0.7</f>
        <v>42</v>
      </c>
      <c r="E106" s="191">
        <f t="shared" si="4"/>
        <v>60</v>
      </c>
      <c r="F106" s="46">
        <v>0.75</v>
      </c>
      <c r="G106" s="499"/>
      <c r="H106" s="490"/>
      <c r="I106" s="478"/>
      <c r="J106" s="482"/>
      <c r="K106" s="491"/>
      <c r="L106" s="501"/>
    </row>
    <row r="107" spans="1:12" s="179" customFormat="1" ht="31.5">
      <c r="A107" s="173" t="s">
        <v>453</v>
      </c>
      <c r="B107" s="174" t="s">
        <v>454</v>
      </c>
      <c r="C107" s="175"/>
      <c r="D107" s="175"/>
      <c r="E107" s="199"/>
      <c r="F107" s="176"/>
      <c r="G107" s="353"/>
      <c r="H107" s="354">
        <v>0.5</v>
      </c>
      <c r="I107" s="355" t="s">
        <v>455</v>
      </c>
      <c r="J107" s="156"/>
      <c r="K107" s="177"/>
      <c r="L107" s="178"/>
    </row>
    <row r="108" spans="1:12" ht="18.75">
      <c r="A108" s="24" t="s">
        <v>19</v>
      </c>
      <c r="B108" s="33" t="s">
        <v>173</v>
      </c>
      <c r="C108" s="24"/>
      <c r="D108" s="31"/>
      <c r="E108" s="197"/>
      <c r="F108" s="43" t="s">
        <v>78</v>
      </c>
      <c r="G108" s="325"/>
      <c r="H108" s="299">
        <f>SUM(H109:H112)</f>
        <v>1.25</v>
      </c>
      <c r="I108" s="24"/>
      <c r="J108" s="158"/>
      <c r="K108" s="70"/>
      <c r="L108" s="72"/>
    </row>
    <row r="109" spans="1:12" s="22" customFormat="1" ht="35.25" customHeight="1">
      <c r="A109" s="7" t="s">
        <v>88</v>
      </c>
      <c r="B109" s="37" t="s">
        <v>90</v>
      </c>
      <c r="C109" s="567" t="s">
        <v>451</v>
      </c>
      <c r="D109" s="568"/>
      <c r="E109" s="200"/>
      <c r="F109" s="42" t="s">
        <v>127</v>
      </c>
      <c r="G109" s="328" t="s">
        <v>196</v>
      </c>
      <c r="H109" s="324">
        <v>0.75</v>
      </c>
      <c r="I109" s="285" t="s">
        <v>439</v>
      </c>
      <c r="J109" s="159"/>
      <c r="K109" s="70"/>
      <c r="L109" s="72"/>
    </row>
    <row r="110" spans="1:12" ht="18.75">
      <c r="A110" s="485" t="s">
        <v>89</v>
      </c>
      <c r="B110" s="496" t="s">
        <v>91</v>
      </c>
      <c r="C110" s="52" t="s">
        <v>174</v>
      </c>
      <c r="D110" s="49" t="str">
        <f>+C110</f>
        <v>≥10</v>
      </c>
      <c r="E110" s="191">
        <v>10</v>
      </c>
      <c r="F110" s="47">
        <v>1</v>
      </c>
      <c r="G110" s="495">
        <v>0</v>
      </c>
      <c r="H110" s="490">
        <f>ROUND(IF(G110&gt;E110,F110,(IF(G110&lt;D111,0,(IF(G110&lt;E111,F111,FORECAST(G110,F110:F111,E110:E111)))))),2)</f>
        <v>0</v>
      </c>
      <c r="I110" s="478" t="str">
        <f>+IF(H110=F110,"Tối đa",IF(H110&gt;F111,"Trung bình",IF(H110=F111,"Tối thiểu","Không đạt")))</f>
        <v>Không đạt</v>
      </c>
      <c r="J110" s="481"/>
      <c r="K110" s="500"/>
      <c r="L110" s="501"/>
    </row>
    <row r="111" spans="1:12" ht="18.75">
      <c r="A111" s="486"/>
      <c r="B111" s="497"/>
      <c r="C111" s="52">
        <v>5</v>
      </c>
      <c r="D111" s="49">
        <f>+C111*0.7</f>
        <v>3.5</v>
      </c>
      <c r="E111" s="191">
        <f>+C111</f>
        <v>5</v>
      </c>
      <c r="F111" s="46">
        <v>0.75</v>
      </c>
      <c r="G111" s="489"/>
      <c r="H111" s="490"/>
      <c r="I111" s="478"/>
      <c r="J111" s="482"/>
      <c r="K111" s="500"/>
      <c r="L111" s="501"/>
    </row>
    <row r="112" spans="1:12" s="179" customFormat="1" ht="47.25">
      <c r="A112" s="180" t="s">
        <v>175</v>
      </c>
      <c r="B112" s="181" t="s">
        <v>176</v>
      </c>
      <c r="C112" s="182"/>
      <c r="D112" s="182"/>
      <c r="E112" s="201"/>
      <c r="F112" s="183"/>
      <c r="G112" s="356"/>
      <c r="H112" s="354">
        <v>0.5</v>
      </c>
      <c r="I112" s="355" t="s">
        <v>455</v>
      </c>
      <c r="J112" s="159"/>
      <c r="K112" s="184" t="s">
        <v>385</v>
      </c>
      <c r="L112" s="284" t="str">
        <f>L94</f>
        <v>UBND XÃ ĐĂK RUỒNG</v>
      </c>
    </row>
    <row r="113" spans="1:12" ht="18.75">
      <c r="A113" s="24" t="s">
        <v>18</v>
      </c>
      <c r="B113" s="33" t="s">
        <v>92</v>
      </c>
      <c r="C113" s="24"/>
      <c r="D113" s="11"/>
      <c r="E113" s="191"/>
      <c r="F113" s="43" t="s">
        <v>93</v>
      </c>
      <c r="G113" s="325"/>
      <c r="H113" s="299">
        <f>SUM(H114:H117)</f>
        <v>4</v>
      </c>
      <c r="I113" s="24"/>
      <c r="J113" s="158"/>
      <c r="K113" s="70"/>
      <c r="L113" s="72"/>
    </row>
    <row r="114" spans="1:12" s="23" customFormat="1" ht="18.75">
      <c r="A114" s="485" t="s">
        <v>94</v>
      </c>
      <c r="B114" s="502" t="s">
        <v>177</v>
      </c>
      <c r="C114" s="11" t="s">
        <v>178</v>
      </c>
      <c r="D114" s="49" t="str">
        <f>+C114</f>
        <v>≥8</v>
      </c>
      <c r="E114" s="191">
        <v>8</v>
      </c>
      <c r="F114" s="47">
        <v>2</v>
      </c>
      <c r="G114" s="499">
        <f>'Biểu 19 Nghĩa trang-Cây xanhĐT'!D21*10000/('Biểu 2 Chi tiêu KTXH'!F12)</f>
        <v>29.415021221627608</v>
      </c>
      <c r="H114" s="490">
        <f>ROUND(IF(G114&gt;E114,F114,(IF(G114&lt;D115,0,(IF(G114&lt;E115,F115,FORECAST(G114,F114:F115,E114:E115)))))),2)</f>
        <v>2</v>
      </c>
      <c r="I114" s="478" t="str">
        <f>+IF(H114=F114,"Tối đa",IF(H114&gt;F115,"Trung bình",IF(H114=F115,"Tối thiểu","Không đạt")))</f>
        <v>Tối đa</v>
      </c>
      <c r="J114" s="481"/>
      <c r="K114" s="491" t="str">
        <f>+K112</f>
        <v>Biểu 19</v>
      </c>
      <c r="L114" s="492" t="str">
        <f>'THÔNG TIN CHUNG'!B11</f>
        <v>PHÒNG KINH TẾ - HẠ TẦNG</v>
      </c>
    </row>
    <row r="115" spans="1:12" s="23" customFormat="1" ht="18.75">
      <c r="A115" s="486"/>
      <c r="B115" s="503"/>
      <c r="C115" s="11">
        <v>6</v>
      </c>
      <c r="D115" s="49">
        <f>+C115*0.7</f>
        <v>4.199999999999999</v>
      </c>
      <c r="E115" s="191">
        <f>+C115</f>
        <v>6</v>
      </c>
      <c r="F115" s="46">
        <v>1.5</v>
      </c>
      <c r="G115" s="499"/>
      <c r="H115" s="490"/>
      <c r="I115" s="478"/>
      <c r="J115" s="482"/>
      <c r="K115" s="491"/>
      <c r="L115" s="492"/>
    </row>
    <row r="116" spans="1:12" s="4" customFormat="1" ht="18.75">
      <c r="A116" s="485" t="s">
        <v>95</v>
      </c>
      <c r="B116" s="496" t="s">
        <v>179</v>
      </c>
      <c r="C116" s="11" t="s">
        <v>180</v>
      </c>
      <c r="D116" s="49" t="str">
        <f>+C116</f>
        <v>≥4</v>
      </c>
      <c r="E116" s="191">
        <v>4</v>
      </c>
      <c r="F116" s="47">
        <v>2</v>
      </c>
      <c r="G116" s="499">
        <f>'Biểu 19 Nghĩa trang-Cây xanhĐT'!D14*10000/('Biểu 2 Chi tiêu KTXH'!F12)</f>
        <v>5.905148551393246</v>
      </c>
      <c r="H116" s="490">
        <f>ROUND(IF(G116&gt;E116,F116,(IF(G116&lt;D117,0,(IF(G116&lt;E117,F117,FORECAST(G116,F116:F117,E116:E117)))))),2)</f>
        <v>2</v>
      </c>
      <c r="I116" s="478" t="str">
        <f>+IF(H116=F116,"Tối đa",IF(H116&gt;F117,"Trung bình",IF(H116=F117,"Tối thiểu","Không đạt")))</f>
        <v>Tối đa</v>
      </c>
      <c r="J116" s="481"/>
      <c r="K116" s="491"/>
      <c r="L116" s="492"/>
    </row>
    <row r="117" spans="1:12" s="4" customFormat="1" ht="18.75">
      <c r="A117" s="486"/>
      <c r="B117" s="497"/>
      <c r="C117" s="11">
        <v>3</v>
      </c>
      <c r="D117" s="49">
        <f>+C117*0.7</f>
        <v>2.0999999999999996</v>
      </c>
      <c r="E117" s="191">
        <f>+C117</f>
        <v>3</v>
      </c>
      <c r="F117" s="46">
        <v>1.5</v>
      </c>
      <c r="G117" s="499"/>
      <c r="H117" s="490"/>
      <c r="I117" s="478"/>
      <c r="J117" s="482"/>
      <c r="K117" s="491"/>
      <c r="L117" s="492"/>
    </row>
    <row r="118" spans="1:12" ht="18.75">
      <c r="A118" s="145" t="s">
        <v>33</v>
      </c>
      <c r="B118" s="153" t="s">
        <v>96</v>
      </c>
      <c r="C118" s="145"/>
      <c r="D118" s="151"/>
      <c r="E118" s="197"/>
      <c r="F118" s="147" t="s">
        <v>97</v>
      </c>
      <c r="G118" s="352"/>
      <c r="H118" s="149">
        <f>SUM(H119:H132)</f>
        <v>7</v>
      </c>
      <c r="I118" s="145"/>
      <c r="J118" s="158"/>
      <c r="K118" s="70"/>
      <c r="L118" s="165"/>
    </row>
    <row r="119" spans="1:12" ht="63">
      <c r="A119" s="485" t="s">
        <v>11</v>
      </c>
      <c r="B119" s="496" t="s">
        <v>373</v>
      </c>
      <c r="C119" s="51" t="s">
        <v>181</v>
      </c>
      <c r="D119" s="51" t="s">
        <v>182</v>
      </c>
      <c r="E119" s="202"/>
      <c r="F119" s="47">
        <v>2</v>
      </c>
      <c r="G119" s="489" t="s">
        <v>445</v>
      </c>
      <c r="H119" s="490">
        <v>0</v>
      </c>
      <c r="I119" s="478" t="str">
        <f>+IF(H119=F119,"Tối đa",IF(H119&gt;F120,"Trung bình",IF(H119=F120,"Tối thiểu","Không đạt")))</f>
        <v>Không đạt</v>
      </c>
      <c r="J119" s="481"/>
      <c r="K119" s="70"/>
      <c r="L119" s="166"/>
    </row>
    <row r="120" spans="1:12" ht="47.25">
      <c r="A120" s="486"/>
      <c r="B120" s="497"/>
      <c r="C120" s="53" t="s">
        <v>182</v>
      </c>
      <c r="D120" s="53" t="s">
        <v>183</v>
      </c>
      <c r="E120" s="203"/>
      <c r="F120" s="46">
        <v>1.5</v>
      </c>
      <c r="G120" s="489"/>
      <c r="H120" s="490"/>
      <c r="I120" s="478"/>
      <c r="J120" s="482"/>
      <c r="K120" s="70"/>
      <c r="L120" s="166"/>
    </row>
    <row r="121" spans="1:12" ht="18.75">
      <c r="A121" s="485" t="s">
        <v>17</v>
      </c>
      <c r="B121" s="496" t="s">
        <v>184</v>
      </c>
      <c r="C121" s="11" t="s">
        <v>139</v>
      </c>
      <c r="D121" s="49" t="str">
        <f>+C121</f>
        <v>≥30</v>
      </c>
      <c r="E121" s="191">
        <v>30</v>
      </c>
      <c r="F121" s="47">
        <v>2</v>
      </c>
      <c r="G121" s="498">
        <f>2/11*100</f>
        <v>18.181818181818183</v>
      </c>
      <c r="H121" s="490">
        <f>ROUND(IF(G121&gt;E121,F121,(IF(G121&lt;D122,0,(IF(G121&lt;E122,F122,FORECAST(G121,F121:F122,E121:E122)))))),2)</f>
        <v>1.5</v>
      </c>
      <c r="I121" s="478" t="str">
        <f aca="true" t="shared" si="5" ref="I121:I133">+IF(H121=F121,"Tối đa",IF(H121&gt;F122,"Trung bình",IF(H121=F122,"Tối thiểu","Không đạt")))</f>
        <v>Tối thiểu</v>
      </c>
      <c r="J121" s="481"/>
      <c r="K121" s="70"/>
      <c r="L121" s="166"/>
    </row>
    <row r="122" spans="1:12" ht="18.75">
      <c r="A122" s="486"/>
      <c r="B122" s="497"/>
      <c r="C122" s="40">
        <v>20</v>
      </c>
      <c r="D122" s="49">
        <f>+C122*0.7</f>
        <v>14</v>
      </c>
      <c r="E122" s="191">
        <f>+C122</f>
        <v>20</v>
      </c>
      <c r="F122" s="46">
        <v>1.5</v>
      </c>
      <c r="G122" s="498"/>
      <c r="H122" s="490"/>
      <c r="I122" s="478"/>
      <c r="J122" s="482"/>
      <c r="K122" s="70"/>
      <c r="L122" s="166"/>
    </row>
    <row r="123" spans="1:12" ht="33.75" customHeight="1">
      <c r="A123" s="485" t="s">
        <v>16</v>
      </c>
      <c r="B123" s="556" t="s">
        <v>185</v>
      </c>
      <c r="C123" s="52" t="s">
        <v>140</v>
      </c>
      <c r="D123" s="49" t="str">
        <f>+C123</f>
        <v>≥2</v>
      </c>
      <c r="E123" s="191">
        <v>2</v>
      </c>
      <c r="F123" s="47">
        <v>2</v>
      </c>
      <c r="G123" s="489" t="s">
        <v>39</v>
      </c>
      <c r="H123" s="490">
        <v>2</v>
      </c>
      <c r="I123" s="478" t="str">
        <f t="shared" si="5"/>
        <v>Tối đa</v>
      </c>
      <c r="J123" s="481"/>
      <c r="K123" s="70"/>
      <c r="L123" s="166"/>
    </row>
    <row r="124" spans="1:12" ht="33.75" customHeight="1">
      <c r="A124" s="486"/>
      <c r="B124" s="557"/>
      <c r="C124" s="52">
        <v>1</v>
      </c>
      <c r="D124" s="49">
        <v>1</v>
      </c>
      <c r="E124" s="191">
        <f>+C124</f>
        <v>1</v>
      </c>
      <c r="F124" s="46">
        <v>1.5</v>
      </c>
      <c r="G124" s="489"/>
      <c r="H124" s="490"/>
      <c r="I124" s="478"/>
      <c r="J124" s="482"/>
      <c r="K124" s="70"/>
      <c r="L124" s="166"/>
    </row>
    <row r="125" spans="1:12" ht="18.75">
      <c r="A125" s="485" t="s">
        <v>98</v>
      </c>
      <c r="B125" s="556" t="s">
        <v>101</v>
      </c>
      <c r="C125" s="52" t="s">
        <v>140</v>
      </c>
      <c r="D125" s="49" t="str">
        <f>+C125</f>
        <v>≥2</v>
      </c>
      <c r="E125" s="191">
        <v>2</v>
      </c>
      <c r="F125" s="47">
        <v>2</v>
      </c>
      <c r="G125" s="495">
        <v>2</v>
      </c>
      <c r="H125" s="490">
        <f>ROUND(IF(G125&gt;E125,F125,(IF(G125&lt;D126,0,(IF(G125&lt;E126,F126,FORECAST(G125,F125:F126,E125:E126)))))),2)</f>
        <v>2</v>
      </c>
      <c r="I125" s="478" t="str">
        <f t="shared" si="5"/>
        <v>Tối đa</v>
      </c>
      <c r="J125" s="481"/>
      <c r="K125" s="491" t="s">
        <v>386</v>
      </c>
      <c r="L125" s="492" t="str">
        <f>L114</f>
        <v>PHÒNG KINH TẾ - HẠ TẦNG</v>
      </c>
    </row>
    <row r="126" spans="1:12" ht="18.75">
      <c r="A126" s="486"/>
      <c r="B126" s="557"/>
      <c r="C126" s="52">
        <v>1</v>
      </c>
      <c r="D126" s="52">
        <v>1</v>
      </c>
      <c r="E126" s="191">
        <f>+C126</f>
        <v>1</v>
      </c>
      <c r="F126" s="46">
        <v>1.5</v>
      </c>
      <c r="G126" s="489"/>
      <c r="H126" s="490"/>
      <c r="I126" s="478"/>
      <c r="J126" s="482"/>
      <c r="K126" s="491"/>
      <c r="L126" s="492"/>
    </row>
    <row r="127" spans="1:12" s="4" customFormat="1" ht="38.25" customHeight="1">
      <c r="A127" s="485" t="s">
        <v>99</v>
      </c>
      <c r="B127" s="556" t="s">
        <v>190</v>
      </c>
      <c r="C127" s="564" t="s">
        <v>186</v>
      </c>
      <c r="D127" s="566"/>
      <c r="E127" s="198" t="str">
        <f>+C127</f>
        <v>Có 01 công trình là di tích cấp quốc gia đặc biệt</v>
      </c>
      <c r="F127" s="47">
        <v>2</v>
      </c>
      <c r="G127" s="494" t="s">
        <v>32</v>
      </c>
      <c r="H127" s="490">
        <v>1.5</v>
      </c>
      <c r="I127" s="478" t="str">
        <f t="shared" si="5"/>
        <v>Tối thiểu</v>
      </c>
      <c r="J127" s="481"/>
      <c r="K127" s="491"/>
      <c r="L127" s="492"/>
    </row>
    <row r="128" spans="1:12" s="4" customFormat="1" ht="45.75" customHeight="1">
      <c r="A128" s="486"/>
      <c r="B128" s="557"/>
      <c r="C128" s="564" t="s">
        <v>187</v>
      </c>
      <c r="D128" s="565"/>
      <c r="E128" s="200" t="str">
        <f>+C128</f>
        <v>Có 01 công trình là di tích cấp quốc gia hoặc cấp tỉnh hoặc công trình kiến trúc loại I hoặc loại II được cơ quan có thẩm
quyền công nhận</v>
      </c>
      <c r="F128" s="46">
        <v>1.5</v>
      </c>
      <c r="G128" s="494"/>
      <c r="H128" s="490"/>
      <c r="I128" s="478"/>
      <c r="J128" s="482"/>
      <c r="K128" s="491"/>
      <c r="L128" s="492"/>
    </row>
    <row r="129" spans="1:12" s="4" customFormat="1" ht="37.5" customHeight="1">
      <c r="A129" s="485" t="s">
        <v>188</v>
      </c>
      <c r="B129" s="556" t="s">
        <v>189</v>
      </c>
      <c r="C129" s="564" t="s">
        <v>191</v>
      </c>
      <c r="D129" s="565"/>
      <c r="E129" s="200" t="str">
        <f>+C129</f>
        <v>Có 02 công trình xanh trở lên đã được cấp giấy chứng nhận</v>
      </c>
      <c r="F129" s="47">
        <v>1</v>
      </c>
      <c r="G129" s="489" t="s">
        <v>551</v>
      </c>
      <c r="H129" s="490">
        <v>0</v>
      </c>
      <c r="I129" s="478" t="str">
        <f t="shared" si="5"/>
        <v>Không đạt</v>
      </c>
      <c r="J129" s="481"/>
      <c r="K129" s="70"/>
      <c r="L129" s="166"/>
    </row>
    <row r="130" spans="1:12" s="4" customFormat="1" ht="39" customHeight="1">
      <c r="A130" s="486"/>
      <c r="B130" s="557"/>
      <c r="C130" s="564" t="s">
        <v>192</v>
      </c>
      <c r="D130" s="565"/>
      <c r="E130" s="200" t="str">
        <f>+C130</f>
        <v>Có 01 công trình xanh đã được cấp giấy chứng nhận</v>
      </c>
      <c r="F130" s="46">
        <v>0.75</v>
      </c>
      <c r="G130" s="489"/>
      <c r="H130" s="490"/>
      <c r="I130" s="478"/>
      <c r="J130" s="482"/>
      <c r="K130" s="70"/>
      <c r="L130" s="166"/>
    </row>
    <row r="131" spans="1:12" s="4" customFormat="1" ht="18.75">
      <c r="A131" s="485" t="s">
        <v>194</v>
      </c>
      <c r="B131" s="556" t="s">
        <v>193</v>
      </c>
      <c r="C131" s="41" t="s">
        <v>140</v>
      </c>
      <c r="D131" s="49" t="str">
        <f>+C131</f>
        <v>≥2</v>
      </c>
      <c r="E131" s="191">
        <v>2</v>
      </c>
      <c r="F131" s="47">
        <v>1</v>
      </c>
      <c r="G131" s="489" t="s">
        <v>551</v>
      </c>
      <c r="H131" s="490">
        <v>0</v>
      </c>
      <c r="I131" s="478" t="str">
        <f t="shared" si="5"/>
        <v>Không đạt</v>
      </c>
      <c r="J131" s="481"/>
      <c r="K131" s="70"/>
      <c r="L131" s="166"/>
    </row>
    <row r="132" spans="1:12" s="4" customFormat="1" ht="18.75">
      <c r="A132" s="486"/>
      <c r="B132" s="557"/>
      <c r="C132" s="41">
        <v>1</v>
      </c>
      <c r="D132" s="52">
        <v>1</v>
      </c>
      <c r="E132" s="204">
        <f>+C132</f>
        <v>1</v>
      </c>
      <c r="F132" s="46">
        <v>0.75</v>
      </c>
      <c r="G132" s="489"/>
      <c r="H132" s="490"/>
      <c r="I132" s="478"/>
      <c r="J132" s="482"/>
      <c r="K132" s="70"/>
      <c r="L132" s="166"/>
    </row>
    <row r="133" spans="1:12" s="4" customFormat="1" ht="18.75">
      <c r="A133" s="558" t="s">
        <v>113</v>
      </c>
      <c r="B133" s="560" t="s">
        <v>111</v>
      </c>
      <c r="C133" s="26"/>
      <c r="D133" s="26"/>
      <c r="E133" s="187"/>
      <c r="F133" s="169">
        <v>10</v>
      </c>
      <c r="G133" s="562" t="s">
        <v>443</v>
      </c>
      <c r="H133" s="563">
        <v>10</v>
      </c>
      <c r="I133" s="478" t="str">
        <f t="shared" si="5"/>
        <v>Tối đa</v>
      </c>
      <c r="J133" s="110"/>
      <c r="K133" s="70"/>
      <c r="L133" s="72"/>
    </row>
    <row r="134" spans="1:12" s="4" customFormat="1" ht="18.75">
      <c r="A134" s="559"/>
      <c r="B134" s="561"/>
      <c r="C134" s="26"/>
      <c r="D134" s="26"/>
      <c r="E134" s="187"/>
      <c r="F134" s="38">
        <f>8*0.75+1*2+1.5</f>
        <v>9.5</v>
      </c>
      <c r="G134" s="562"/>
      <c r="H134" s="563"/>
      <c r="I134" s="478"/>
      <c r="J134" s="110"/>
      <c r="K134" s="70"/>
      <c r="L134" s="72"/>
    </row>
    <row r="135" spans="1:12" ht="18.75">
      <c r="A135" s="34"/>
      <c r="B135" s="34" t="s">
        <v>31</v>
      </c>
      <c r="C135" s="554"/>
      <c r="D135" s="555"/>
      <c r="E135" s="189"/>
      <c r="F135" s="44" t="s">
        <v>100</v>
      </c>
      <c r="G135" s="35"/>
      <c r="H135" s="36">
        <f>H7+H25+H28+H33+H36+H133</f>
        <v>93.71000000000001</v>
      </c>
      <c r="I135" s="34"/>
      <c r="J135" s="277"/>
      <c r="K135" s="70"/>
      <c r="L135" s="72"/>
    </row>
    <row r="136" spans="1:9" ht="18.75">
      <c r="A136" s="5"/>
      <c r="B136" s="5"/>
      <c r="C136" s="5"/>
      <c r="D136" s="5"/>
      <c r="E136" s="5"/>
      <c r="F136" s="138"/>
      <c r="G136" s="5"/>
      <c r="H136" s="5"/>
      <c r="I136" s="6"/>
    </row>
    <row r="137" spans="1:12" s="9" customFormat="1" ht="18.75" customHeight="1">
      <c r="A137" s="5"/>
      <c r="B137" s="467" t="s">
        <v>195</v>
      </c>
      <c r="C137" s="467"/>
      <c r="D137" s="467"/>
      <c r="E137" s="467"/>
      <c r="F137" s="467"/>
      <c r="G137" s="467"/>
      <c r="H137" s="467"/>
      <c r="I137" s="467"/>
      <c r="J137" s="281"/>
      <c r="K137" s="160"/>
      <c r="L137" s="161"/>
    </row>
    <row r="138" spans="1:9" ht="51.75" customHeight="1">
      <c r="A138" s="16"/>
      <c r="B138" s="467" t="s">
        <v>440</v>
      </c>
      <c r="C138" s="467"/>
      <c r="D138" s="467"/>
      <c r="E138" s="467"/>
      <c r="F138" s="467"/>
      <c r="G138" s="467"/>
      <c r="H138" s="467"/>
      <c r="I138" s="467"/>
    </row>
    <row r="139" spans="1:12" s="10" customFormat="1" ht="18.75">
      <c r="A139" s="17"/>
      <c r="B139" s="468"/>
      <c r="C139" s="469"/>
      <c r="D139" s="469"/>
      <c r="E139" s="469"/>
      <c r="F139" s="469"/>
      <c r="G139" s="469"/>
      <c r="H139" s="469"/>
      <c r="I139" s="469"/>
      <c r="J139" s="282"/>
      <c r="K139" s="160"/>
      <c r="L139" s="161"/>
    </row>
    <row r="140" spans="1:12" s="17" customFormat="1" ht="18.75">
      <c r="A140" s="18"/>
      <c r="B140" s="19"/>
      <c r="C140" s="470" t="s">
        <v>446</v>
      </c>
      <c r="D140" s="470"/>
      <c r="E140" s="470"/>
      <c r="F140" s="470"/>
      <c r="G140" s="470"/>
      <c r="H140" s="470"/>
      <c r="I140" s="470"/>
      <c r="J140" s="283"/>
      <c r="K140" s="160"/>
      <c r="L140" s="161"/>
    </row>
    <row r="141" spans="1:12" s="17" customFormat="1" ht="6" customHeight="1">
      <c r="A141" s="18"/>
      <c r="B141" s="19"/>
      <c r="C141" s="470"/>
      <c r="D141" s="470"/>
      <c r="E141" s="470"/>
      <c r="F141" s="470"/>
      <c r="G141" s="470"/>
      <c r="H141" s="470"/>
      <c r="I141" s="470"/>
      <c r="J141" s="283"/>
      <c r="K141" s="160"/>
      <c r="L141" s="161"/>
    </row>
    <row r="142" spans="1:12" s="17" customFormat="1" ht="18.75">
      <c r="A142" s="18"/>
      <c r="B142" s="19"/>
      <c r="C142" s="289" t="s">
        <v>442</v>
      </c>
      <c r="D142" s="289" t="s">
        <v>439</v>
      </c>
      <c r="E142" s="289"/>
      <c r="F142" s="289" t="s">
        <v>566</v>
      </c>
      <c r="G142" s="289" t="s">
        <v>444</v>
      </c>
      <c r="H142" s="471" t="s">
        <v>447</v>
      </c>
      <c r="I142" s="471"/>
      <c r="J142" s="283"/>
      <c r="K142" s="160"/>
      <c r="L142" s="161"/>
    </row>
    <row r="143" spans="1:12" s="17" customFormat="1" ht="18.75">
      <c r="A143" s="18"/>
      <c r="B143" s="19"/>
      <c r="C143" s="289">
        <f>COUNTIF($I$8:$I$134,"không đạt")</f>
        <v>7</v>
      </c>
      <c r="D143" s="289">
        <f>COUNTIF($I$8:$I$134,"Tối thiểu")</f>
        <v>10</v>
      </c>
      <c r="E143" s="289"/>
      <c r="F143" s="289">
        <f>COUNTIF($I$8:$I$134,"Trung bình")</f>
        <v>8</v>
      </c>
      <c r="G143" s="289">
        <f>COUNTIF($I$8:$I$134,"Tối đa")</f>
        <v>30</v>
      </c>
      <c r="H143" s="471">
        <f>SUM(C143:G143)</f>
        <v>55</v>
      </c>
      <c r="I143" s="471"/>
      <c r="J143" s="283"/>
      <c r="K143" s="160"/>
      <c r="L143" s="161"/>
    </row>
    <row r="144" spans="2:12" s="18" customFormat="1" ht="18.75">
      <c r="B144" s="19"/>
      <c r="D144" s="20"/>
      <c r="E144" s="20"/>
      <c r="F144" s="139"/>
      <c r="G144" s="20"/>
      <c r="H144" s="21"/>
      <c r="I144" s="137"/>
      <c r="J144" s="283"/>
      <c r="K144" s="160"/>
      <c r="L144" s="161"/>
    </row>
    <row r="145" spans="2:12" s="18" customFormat="1" ht="18.75">
      <c r="B145" s="19"/>
      <c r="D145" s="20"/>
      <c r="E145" s="20"/>
      <c r="F145" s="139"/>
      <c r="G145" s="20"/>
      <c r="H145" s="21"/>
      <c r="I145" s="137"/>
      <c r="J145" s="283"/>
      <c r="K145" s="160"/>
      <c r="L145" s="161"/>
    </row>
    <row r="146" spans="2:12" s="18" customFormat="1" ht="18.75">
      <c r="B146" s="19"/>
      <c r="D146" s="20"/>
      <c r="E146" s="20"/>
      <c r="F146" s="139"/>
      <c r="G146" s="20"/>
      <c r="H146" s="21"/>
      <c r="I146" s="137"/>
      <c r="J146" s="283"/>
      <c r="K146" s="160"/>
      <c r="L146" s="161"/>
    </row>
    <row r="147" spans="2:12" s="18" customFormat="1" ht="18.75">
      <c r="B147" s="19"/>
      <c r="D147" s="20"/>
      <c r="E147" s="20"/>
      <c r="F147" s="139"/>
      <c r="G147" s="20"/>
      <c r="H147" s="21"/>
      <c r="I147" s="137"/>
      <c r="J147" s="283"/>
      <c r="K147" s="160"/>
      <c r="L147" s="161"/>
    </row>
    <row r="148" spans="2:12" s="18" customFormat="1" ht="18.75">
      <c r="B148" s="19"/>
      <c r="D148" s="20"/>
      <c r="E148" s="20"/>
      <c r="F148" s="139"/>
      <c r="G148" s="20"/>
      <c r="H148" s="21"/>
      <c r="I148" s="137"/>
      <c r="J148" s="283"/>
      <c r="K148" s="160"/>
      <c r="L148" s="161"/>
    </row>
    <row r="149" spans="1:12" s="18" customFormat="1" ht="18.75">
      <c r="A149"/>
      <c r="B149" s="3"/>
      <c r="C149"/>
      <c r="D149" s="1"/>
      <c r="E149" s="1"/>
      <c r="F149" s="139"/>
      <c r="G149" s="1"/>
      <c r="H149" s="2"/>
      <c r="I149" s="137"/>
      <c r="J149" s="283"/>
      <c r="K149" s="160"/>
      <c r="L149" s="161"/>
    </row>
    <row r="150" spans="1:12" s="18" customFormat="1" ht="18.75">
      <c r="A150"/>
      <c r="B150" s="3"/>
      <c r="C150"/>
      <c r="D150" s="1"/>
      <c r="E150" s="1"/>
      <c r="F150" s="139"/>
      <c r="G150" s="1"/>
      <c r="H150" s="2"/>
      <c r="I150" s="137"/>
      <c r="J150" s="283"/>
      <c r="K150" s="160"/>
      <c r="L150" s="161"/>
    </row>
    <row r="151" spans="1:12" s="18" customFormat="1" ht="18.75">
      <c r="A151"/>
      <c r="B151" s="3"/>
      <c r="C151"/>
      <c r="D151" s="1"/>
      <c r="E151" s="1"/>
      <c r="F151" s="139"/>
      <c r="G151" s="1"/>
      <c r="H151" s="2"/>
      <c r="I151" s="137"/>
      <c r="J151" s="283"/>
      <c r="K151" s="160"/>
      <c r="L151" s="161"/>
    </row>
    <row r="152" spans="1:12" s="18" customFormat="1" ht="18.75">
      <c r="A152"/>
      <c r="B152" s="3"/>
      <c r="C152"/>
      <c r="D152" s="1"/>
      <c r="E152" s="1"/>
      <c r="F152" s="139"/>
      <c r="G152" s="1"/>
      <c r="H152" s="2"/>
      <c r="I152" s="137"/>
      <c r="J152" s="283"/>
      <c r="K152" s="160"/>
      <c r="L152" s="161"/>
    </row>
    <row r="153" spans="1:12" s="18" customFormat="1" ht="18.75">
      <c r="A153"/>
      <c r="B153" s="3"/>
      <c r="C153"/>
      <c r="D153" s="1"/>
      <c r="E153" s="1"/>
      <c r="F153" s="139"/>
      <c r="G153" s="1"/>
      <c r="H153" s="2"/>
      <c r="I153" s="137"/>
      <c r="J153" s="283"/>
      <c r="K153" s="160"/>
      <c r="L153" s="161"/>
    </row>
    <row r="154" spans="1:12" s="18" customFormat="1" ht="18.75">
      <c r="A154"/>
      <c r="B154" s="3"/>
      <c r="C154"/>
      <c r="D154" s="1"/>
      <c r="E154" s="1"/>
      <c r="F154" s="139"/>
      <c r="G154" s="1"/>
      <c r="H154" s="2"/>
      <c r="I154" s="137"/>
      <c r="J154" s="283"/>
      <c r="K154" s="160"/>
      <c r="L154" s="161"/>
    </row>
    <row r="155" spans="1:12" s="18" customFormat="1" ht="18.75">
      <c r="A155"/>
      <c r="B155" s="3"/>
      <c r="C155"/>
      <c r="D155" s="1"/>
      <c r="E155" s="1"/>
      <c r="F155" s="139"/>
      <c r="G155" s="1"/>
      <c r="H155" s="2"/>
      <c r="I155" s="137"/>
      <c r="J155" s="283"/>
      <c r="K155" s="160"/>
      <c r="L155" s="161"/>
    </row>
    <row r="156" spans="1:12" s="18" customFormat="1" ht="18.75">
      <c r="A156"/>
      <c r="B156" s="3"/>
      <c r="C156"/>
      <c r="D156" s="1"/>
      <c r="E156" s="1"/>
      <c r="F156" s="139"/>
      <c r="G156" s="1"/>
      <c r="H156" s="2"/>
      <c r="I156" s="137"/>
      <c r="J156" s="283"/>
      <c r="K156" s="160"/>
      <c r="L156" s="161"/>
    </row>
    <row r="157" spans="1:12" s="18" customFormat="1" ht="18.75">
      <c r="A157"/>
      <c r="B157" s="3"/>
      <c r="C157"/>
      <c r="D157" s="1"/>
      <c r="E157" s="1"/>
      <c r="F157" s="139"/>
      <c r="G157" s="1"/>
      <c r="H157" s="2"/>
      <c r="I157" s="137"/>
      <c r="J157" s="283"/>
      <c r="K157" s="160"/>
      <c r="L157" s="161"/>
    </row>
    <row r="158" spans="1:12" s="18" customFormat="1" ht="18.75">
      <c r="A158"/>
      <c r="B158" s="3"/>
      <c r="C158"/>
      <c r="D158" s="1"/>
      <c r="E158" s="1"/>
      <c r="F158" s="139"/>
      <c r="G158" s="1"/>
      <c r="H158" s="2"/>
      <c r="I158" s="137"/>
      <c r="J158" s="283"/>
      <c r="K158" s="160"/>
      <c r="L158" s="161"/>
    </row>
    <row r="159" spans="1:12" s="18" customFormat="1" ht="18.75">
      <c r="A159"/>
      <c r="B159" s="3"/>
      <c r="C159"/>
      <c r="D159" s="1"/>
      <c r="E159" s="1"/>
      <c r="F159" s="139"/>
      <c r="G159" s="1"/>
      <c r="H159" s="2"/>
      <c r="I159" s="137"/>
      <c r="J159" s="283"/>
      <c r="K159" s="160"/>
      <c r="L159" s="161"/>
    </row>
    <row r="160" spans="1:12" s="18" customFormat="1" ht="18.75">
      <c r="A160"/>
      <c r="B160" s="3"/>
      <c r="C160"/>
      <c r="D160" s="1"/>
      <c r="E160" s="1"/>
      <c r="F160" s="139"/>
      <c r="G160" s="1"/>
      <c r="H160" s="2"/>
      <c r="I160" s="137"/>
      <c r="J160" s="283"/>
      <c r="K160" s="160"/>
      <c r="L160" s="161"/>
    </row>
    <row r="161" spans="1:12" s="18" customFormat="1" ht="18.75">
      <c r="A161"/>
      <c r="B161" s="3"/>
      <c r="C161"/>
      <c r="D161" s="1"/>
      <c r="E161" s="1"/>
      <c r="F161" s="139"/>
      <c r="G161" s="1"/>
      <c r="H161" s="2"/>
      <c r="I161" s="137"/>
      <c r="J161" s="283"/>
      <c r="K161" s="160"/>
      <c r="L161" s="161"/>
    </row>
  </sheetData>
  <sheetProtection/>
  <mergeCells count="385">
    <mergeCell ref="A1:I1"/>
    <mergeCell ref="A2:I2"/>
    <mergeCell ref="K2:L10"/>
    <mergeCell ref="A3:I3"/>
    <mergeCell ref="A4:I4"/>
    <mergeCell ref="A5:A6"/>
    <mergeCell ref="B5:B6"/>
    <mergeCell ref="C5:F5"/>
    <mergeCell ref="G5:I5"/>
    <mergeCell ref="A8:A9"/>
    <mergeCell ref="B8:B9"/>
    <mergeCell ref="C8:D8"/>
    <mergeCell ref="G8:G9"/>
    <mergeCell ref="H8:H9"/>
    <mergeCell ref="I8:I9"/>
    <mergeCell ref="C9:D9"/>
    <mergeCell ref="C10:D10"/>
    <mergeCell ref="A11:A12"/>
    <mergeCell ref="B11:B12"/>
    <mergeCell ref="C11:D11"/>
    <mergeCell ref="G11:G12"/>
    <mergeCell ref="H11:H12"/>
    <mergeCell ref="I11:I12"/>
    <mergeCell ref="J11:J12"/>
    <mergeCell ref="K11:K12"/>
    <mergeCell ref="L11:L12"/>
    <mergeCell ref="C12:D12"/>
    <mergeCell ref="A13:A14"/>
    <mergeCell ref="B13:B14"/>
    <mergeCell ref="G13:G14"/>
    <mergeCell ref="H13:H14"/>
    <mergeCell ref="I13:I14"/>
    <mergeCell ref="J13:J14"/>
    <mergeCell ref="K13:K18"/>
    <mergeCell ref="L13:L18"/>
    <mergeCell ref="A15:A16"/>
    <mergeCell ref="B15:B16"/>
    <mergeCell ref="C15:D15"/>
    <mergeCell ref="G15:G16"/>
    <mergeCell ref="H15:H16"/>
    <mergeCell ref="I15:I16"/>
    <mergeCell ref="J15:J16"/>
    <mergeCell ref="C16:D16"/>
    <mergeCell ref="A17:A18"/>
    <mergeCell ref="B17:B18"/>
    <mergeCell ref="G17:G18"/>
    <mergeCell ref="H17:H18"/>
    <mergeCell ref="I17:I18"/>
    <mergeCell ref="J17:J18"/>
    <mergeCell ref="A19:A20"/>
    <mergeCell ref="B19:B20"/>
    <mergeCell ref="G19:G20"/>
    <mergeCell ref="H19:H20"/>
    <mergeCell ref="I19:I20"/>
    <mergeCell ref="J23:J24"/>
    <mergeCell ref="K23:K24"/>
    <mergeCell ref="L23:L24"/>
    <mergeCell ref="A21:A22"/>
    <mergeCell ref="B21:B22"/>
    <mergeCell ref="G21:G22"/>
    <mergeCell ref="H21:H22"/>
    <mergeCell ref="I21:I22"/>
    <mergeCell ref="J21:J22"/>
    <mergeCell ref="G26:G27"/>
    <mergeCell ref="H26:H27"/>
    <mergeCell ref="J26:J27"/>
    <mergeCell ref="K21:K22"/>
    <mergeCell ref="L21:L22"/>
    <mergeCell ref="A23:A24"/>
    <mergeCell ref="B23:B24"/>
    <mergeCell ref="G23:G24"/>
    <mergeCell ref="H23:H24"/>
    <mergeCell ref="I23:I24"/>
    <mergeCell ref="J31:J32"/>
    <mergeCell ref="K31:K32"/>
    <mergeCell ref="L31:L32"/>
    <mergeCell ref="A29:A30"/>
    <mergeCell ref="B29:B30"/>
    <mergeCell ref="G29:G30"/>
    <mergeCell ref="H29:H30"/>
    <mergeCell ref="I29:I30"/>
    <mergeCell ref="J29:J30"/>
    <mergeCell ref="G34:G35"/>
    <mergeCell ref="H34:H35"/>
    <mergeCell ref="J34:J35"/>
    <mergeCell ref="K29:K30"/>
    <mergeCell ref="L29:L30"/>
    <mergeCell ref="A31:A32"/>
    <mergeCell ref="B31:B32"/>
    <mergeCell ref="G31:G32"/>
    <mergeCell ref="H31:H32"/>
    <mergeCell ref="I31:I32"/>
    <mergeCell ref="K34:K35"/>
    <mergeCell ref="L34:L35"/>
    <mergeCell ref="A40:A41"/>
    <mergeCell ref="B40:B41"/>
    <mergeCell ref="G40:G41"/>
    <mergeCell ref="H40:H41"/>
    <mergeCell ref="I40:I41"/>
    <mergeCell ref="J40:J41"/>
    <mergeCell ref="K40:K43"/>
    <mergeCell ref="L40:L41"/>
    <mergeCell ref="A42:A43"/>
    <mergeCell ref="B42:B43"/>
    <mergeCell ref="G42:G43"/>
    <mergeCell ref="H42:H43"/>
    <mergeCell ref="I42:I43"/>
    <mergeCell ref="J42:J43"/>
    <mergeCell ref="L42:L43"/>
    <mergeCell ref="A45:A46"/>
    <mergeCell ref="B45:B46"/>
    <mergeCell ref="G45:G46"/>
    <mergeCell ref="H45:H46"/>
    <mergeCell ref="I45:I46"/>
    <mergeCell ref="J45:J46"/>
    <mergeCell ref="K45:K50"/>
    <mergeCell ref="L45:L50"/>
    <mergeCell ref="A47:A48"/>
    <mergeCell ref="B47:B48"/>
    <mergeCell ref="G47:G48"/>
    <mergeCell ref="H47:H48"/>
    <mergeCell ref="I47:I48"/>
    <mergeCell ref="J47:J48"/>
    <mergeCell ref="A49:A50"/>
    <mergeCell ref="B49:B50"/>
    <mergeCell ref="G49:G50"/>
    <mergeCell ref="H49:H50"/>
    <mergeCell ref="I49:I50"/>
    <mergeCell ref="J49:J50"/>
    <mergeCell ref="A51:A52"/>
    <mergeCell ref="B51:B52"/>
    <mergeCell ref="G51:G52"/>
    <mergeCell ref="H51:H52"/>
    <mergeCell ref="I51:I52"/>
    <mergeCell ref="J51:J52"/>
    <mergeCell ref="A53:A54"/>
    <mergeCell ref="B53:B54"/>
    <mergeCell ref="G53:G54"/>
    <mergeCell ref="H53:H54"/>
    <mergeCell ref="I53:I54"/>
    <mergeCell ref="J53:J54"/>
    <mergeCell ref="K51:K52"/>
    <mergeCell ref="L51:L52"/>
    <mergeCell ref="K53:K54"/>
    <mergeCell ref="L53:L54"/>
    <mergeCell ref="K55:K58"/>
    <mergeCell ref="L55:L58"/>
    <mergeCell ref="I57:I58"/>
    <mergeCell ref="J57:J58"/>
    <mergeCell ref="G55:G56"/>
    <mergeCell ref="H55:H56"/>
    <mergeCell ref="I55:I56"/>
    <mergeCell ref="J55:J56"/>
    <mergeCell ref="A55:A56"/>
    <mergeCell ref="B55:B56"/>
    <mergeCell ref="A59:A60"/>
    <mergeCell ref="B59:B60"/>
    <mergeCell ref="G59:G60"/>
    <mergeCell ref="H59:H60"/>
    <mergeCell ref="A57:A58"/>
    <mergeCell ref="B57:B58"/>
    <mergeCell ref="G57:G58"/>
    <mergeCell ref="H57:H58"/>
    <mergeCell ref="I59:I60"/>
    <mergeCell ref="J59:J60"/>
    <mergeCell ref="K59:K60"/>
    <mergeCell ref="L59:L60"/>
    <mergeCell ref="A63:A64"/>
    <mergeCell ref="B63:B64"/>
    <mergeCell ref="C63:D63"/>
    <mergeCell ref="G63:G64"/>
    <mergeCell ref="H63:H64"/>
    <mergeCell ref="I63:I64"/>
    <mergeCell ref="J63:J64"/>
    <mergeCell ref="K63:K70"/>
    <mergeCell ref="L63:L70"/>
    <mergeCell ref="C64:D64"/>
    <mergeCell ref="A65:A66"/>
    <mergeCell ref="B65:B66"/>
    <mergeCell ref="G65:G66"/>
    <mergeCell ref="H65:H66"/>
    <mergeCell ref="I65:I66"/>
    <mergeCell ref="J65:J66"/>
    <mergeCell ref="A67:A68"/>
    <mergeCell ref="B67:B68"/>
    <mergeCell ref="G67:G68"/>
    <mergeCell ref="H67:H68"/>
    <mergeCell ref="I67:I68"/>
    <mergeCell ref="J67:J68"/>
    <mergeCell ref="A69:A70"/>
    <mergeCell ref="B69:B70"/>
    <mergeCell ref="G69:G70"/>
    <mergeCell ref="H69:H70"/>
    <mergeCell ref="I69:I70"/>
    <mergeCell ref="J69:J70"/>
    <mergeCell ref="A71:A72"/>
    <mergeCell ref="B71:B72"/>
    <mergeCell ref="G71:G72"/>
    <mergeCell ref="H71:H72"/>
    <mergeCell ref="I71:I72"/>
    <mergeCell ref="J71:J72"/>
    <mergeCell ref="A74:A75"/>
    <mergeCell ref="B74:B75"/>
    <mergeCell ref="G74:G75"/>
    <mergeCell ref="H74:H75"/>
    <mergeCell ref="I74:I75"/>
    <mergeCell ref="J74:J75"/>
    <mergeCell ref="K71:K72"/>
    <mergeCell ref="L71:L72"/>
    <mergeCell ref="K74:K75"/>
    <mergeCell ref="L74:L75"/>
    <mergeCell ref="K76:K79"/>
    <mergeCell ref="L76:L79"/>
    <mergeCell ref="I78:I79"/>
    <mergeCell ref="J78:J79"/>
    <mergeCell ref="G76:G77"/>
    <mergeCell ref="H76:H77"/>
    <mergeCell ref="I76:I77"/>
    <mergeCell ref="J76:J77"/>
    <mergeCell ref="A76:A77"/>
    <mergeCell ref="B76:B77"/>
    <mergeCell ref="A81:A82"/>
    <mergeCell ref="B81:B82"/>
    <mergeCell ref="G81:G82"/>
    <mergeCell ref="H81:H82"/>
    <mergeCell ref="A78:A79"/>
    <mergeCell ref="B78:B79"/>
    <mergeCell ref="G78:G79"/>
    <mergeCell ref="H78:H79"/>
    <mergeCell ref="A83:A84"/>
    <mergeCell ref="B83:B84"/>
    <mergeCell ref="G83:G84"/>
    <mergeCell ref="H83:H84"/>
    <mergeCell ref="I83:I84"/>
    <mergeCell ref="J83:J84"/>
    <mergeCell ref="G86:G87"/>
    <mergeCell ref="H86:H87"/>
    <mergeCell ref="I86:I87"/>
    <mergeCell ref="J86:J87"/>
    <mergeCell ref="K81:K84"/>
    <mergeCell ref="L81:L84"/>
    <mergeCell ref="K86:K89"/>
    <mergeCell ref="L86:L89"/>
    <mergeCell ref="I81:I82"/>
    <mergeCell ref="J81:J82"/>
    <mergeCell ref="A88:A89"/>
    <mergeCell ref="B88:B89"/>
    <mergeCell ref="G88:G89"/>
    <mergeCell ref="H88:H89"/>
    <mergeCell ref="I88:I89"/>
    <mergeCell ref="J88:J89"/>
    <mergeCell ref="A86:A87"/>
    <mergeCell ref="B86:B87"/>
    <mergeCell ref="J94:J95"/>
    <mergeCell ref="K94:K95"/>
    <mergeCell ref="L94:L97"/>
    <mergeCell ref="A90:A91"/>
    <mergeCell ref="B90:B91"/>
    <mergeCell ref="G90:G91"/>
    <mergeCell ref="H90:H91"/>
    <mergeCell ref="I90:I91"/>
    <mergeCell ref="J90:J91"/>
    <mergeCell ref="H96:H97"/>
    <mergeCell ref="I96:I97"/>
    <mergeCell ref="J96:J97"/>
    <mergeCell ref="K90:K91"/>
    <mergeCell ref="L90:L91"/>
    <mergeCell ref="A94:A95"/>
    <mergeCell ref="B94:B95"/>
    <mergeCell ref="G94:G95"/>
    <mergeCell ref="H94:H95"/>
    <mergeCell ref="I94:I95"/>
    <mergeCell ref="K96:K97"/>
    <mergeCell ref="A96:A97"/>
    <mergeCell ref="B96:B97"/>
    <mergeCell ref="G96:G97"/>
    <mergeCell ref="A99:A100"/>
    <mergeCell ref="B99:B100"/>
    <mergeCell ref="G99:G100"/>
    <mergeCell ref="H99:H100"/>
    <mergeCell ref="I99:I100"/>
    <mergeCell ref="J99:J100"/>
    <mergeCell ref="A101:A102"/>
    <mergeCell ref="B101:B102"/>
    <mergeCell ref="G101:G102"/>
    <mergeCell ref="H101:H102"/>
    <mergeCell ref="I101:I102"/>
    <mergeCell ref="J101:J102"/>
    <mergeCell ref="K101:K106"/>
    <mergeCell ref="L101:L106"/>
    <mergeCell ref="A103:A104"/>
    <mergeCell ref="B103:B104"/>
    <mergeCell ref="G103:G104"/>
    <mergeCell ref="H103:H104"/>
    <mergeCell ref="I103:I104"/>
    <mergeCell ref="J103:J104"/>
    <mergeCell ref="A105:A106"/>
    <mergeCell ref="B105:B106"/>
    <mergeCell ref="G105:G106"/>
    <mergeCell ref="H105:H106"/>
    <mergeCell ref="I105:I106"/>
    <mergeCell ref="J105:J106"/>
    <mergeCell ref="C109:D109"/>
    <mergeCell ref="A110:A111"/>
    <mergeCell ref="B110:B111"/>
    <mergeCell ref="G110:G111"/>
    <mergeCell ref="H110:H111"/>
    <mergeCell ref="I110:I111"/>
    <mergeCell ref="J110:J111"/>
    <mergeCell ref="K110:K111"/>
    <mergeCell ref="L110:L111"/>
    <mergeCell ref="A114:A115"/>
    <mergeCell ref="B114:B115"/>
    <mergeCell ref="G114:G115"/>
    <mergeCell ref="H114:H115"/>
    <mergeCell ref="I114:I115"/>
    <mergeCell ref="J114:J115"/>
    <mergeCell ref="K114:K117"/>
    <mergeCell ref="L114:L117"/>
    <mergeCell ref="A116:A117"/>
    <mergeCell ref="B116:B117"/>
    <mergeCell ref="G116:G117"/>
    <mergeCell ref="H116:H117"/>
    <mergeCell ref="I116:I117"/>
    <mergeCell ref="J116:J117"/>
    <mergeCell ref="A119:A120"/>
    <mergeCell ref="B119:B120"/>
    <mergeCell ref="G119:G120"/>
    <mergeCell ref="H119:H120"/>
    <mergeCell ref="I119:I120"/>
    <mergeCell ref="J119:J120"/>
    <mergeCell ref="A121:A122"/>
    <mergeCell ref="B121:B122"/>
    <mergeCell ref="G121:G122"/>
    <mergeCell ref="H121:H122"/>
    <mergeCell ref="I121:I122"/>
    <mergeCell ref="J121:J122"/>
    <mergeCell ref="J125:J126"/>
    <mergeCell ref="A123:A124"/>
    <mergeCell ref="B123:B124"/>
    <mergeCell ref="G123:G124"/>
    <mergeCell ref="H123:H124"/>
    <mergeCell ref="I123:I124"/>
    <mergeCell ref="J123:J124"/>
    <mergeCell ref="I127:I128"/>
    <mergeCell ref="C128:D128"/>
    <mergeCell ref="A125:A126"/>
    <mergeCell ref="B125:B126"/>
    <mergeCell ref="G125:G126"/>
    <mergeCell ref="H125:H126"/>
    <mergeCell ref="I125:I126"/>
    <mergeCell ref="K125:K128"/>
    <mergeCell ref="L125:L128"/>
    <mergeCell ref="J127:J128"/>
    <mergeCell ref="J129:J130"/>
    <mergeCell ref="C130:D130"/>
    <mergeCell ref="A127:A128"/>
    <mergeCell ref="B127:B128"/>
    <mergeCell ref="C127:D127"/>
    <mergeCell ref="G127:G128"/>
    <mergeCell ref="H127:H128"/>
    <mergeCell ref="I131:I132"/>
    <mergeCell ref="J131:J132"/>
    <mergeCell ref="C129:D129"/>
    <mergeCell ref="G129:G130"/>
    <mergeCell ref="H129:H130"/>
    <mergeCell ref="I129:I130"/>
    <mergeCell ref="A129:A130"/>
    <mergeCell ref="B129:B130"/>
    <mergeCell ref="A133:A134"/>
    <mergeCell ref="B133:B134"/>
    <mergeCell ref="G133:G134"/>
    <mergeCell ref="H133:H134"/>
    <mergeCell ref="A131:A132"/>
    <mergeCell ref="B131:B132"/>
    <mergeCell ref="G131:G132"/>
    <mergeCell ref="H131:H132"/>
    <mergeCell ref="H142:I142"/>
    <mergeCell ref="H143:I143"/>
    <mergeCell ref="I133:I134"/>
    <mergeCell ref="C135:D135"/>
    <mergeCell ref="B137:I137"/>
    <mergeCell ref="B138:I138"/>
    <mergeCell ref="B139:I139"/>
    <mergeCell ref="C140:I141"/>
  </mergeCells>
  <hyperlinks>
    <hyperlink ref="K11:K12" location="'Biểu 1 Thu chi ngân sách'!A1" display="Biểu 1"/>
    <hyperlink ref="K13:K18" location="'Biểu 2 Chi tiêu KTXH'!A1" display="Biểu 2"/>
    <hyperlink ref="K21:K22" location="'Biểu 3 Hộ nghèo'!A1" display="Biểu 3"/>
    <hyperlink ref="K23:K24" location="'Biểu 2 Chi tiêu KTXH'!A1" display="'Biểu 2 Chi tiêu KTXH'!A1"/>
    <hyperlink ref="K26" location="'Biểu 2 Chi tiêu KTXH'!A1" display="Biểu 2"/>
    <hyperlink ref="K27" location="'Biểu 4 Dân số tạm trú'!A1" display="Biểu 4"/>
    <hyperlink ref="K40:K43" location="'Biểu 5 Nhà ở'!A1" display="Biểu 5"/>
    <hyperlink ref="K45:K50" location="'Biểu 6 Cơ cấu SDD'!A1" display="Biểu 6"/>
    <hyperlink ref="K51:K52" location="'Biểu 7 Cơ sở y tế'!A1" display="Biểu 7"/>
    <hyperlink ref="K53:K54" location="'Biểu 8 Cơ sở giáo dục'!A1" display="Biểu 8"/>
    <hyperlink ref="K55:K58" location="'Biểu 9 Ctrinh văn hóa'!A1" display="Biểu 9"/>
    <hyperlink ref="K59:K60" location="'Biểu 10 Ctrinh TMDV'!A1" display="Biểu 10"/>
    <hyperlink ref="K63:K70" location="'Biểu 11 Giao thông'!A1" display="Biểu 11"/>
    <hyperlink ref="K71:K72" location="'Biểu 12 Vận tải công cộng'!A1" display="Biểu 12"/>
    <hyperlink ref="K74:K75" location="'Biểu 13 Cấp điện'!A1" display="Biểu 13"/>
    <hyperlink ref="K76:K79" location="'Biểu 11 Giao thông'!A1" display="Biểu 11"/>
    <hyperlink ref="K81:K84" location="'Biểu 14 Cấp nước'!A1" display="Biểu 14"/>
    <hyperlink ref="K86:K89" location="'Biểu 15 Viễn thông'!A1" display="Biểu 15"/>
    <hyperlink ref="K90:K91" location="'Biểu 16 DV công trực tuyến'!A1" display="BIỂU 16"/>
    <hyperlink ref="K94:K95" location="'Biểu 11 Giao thông'!A1" display="'Biểu 11 Giao thông'!A1"/>
    <hyperlink ref="K96:K97" location="'Biểu 17 Chống ngập úng'!A1" display="Biểu 17"/>
    <hyperlink ref="K112" location="'Biểu 19 Nghĩa trang-Cây xanhĐT'!A1" display="Biểu 19"/>
    <hyperlink ref="K114:K117" location="'Biểu 19 Nghĩa trang-Cây xanhĐT'!A1" display="'Biểu 19 Nghĩa trang-Cây xanhĐT'!A1"/>
    <hyperlink ref="K125:K128" location="'Biểu 20 KGCC-Kiến trúc TB'!A1" display="Biểu 20"/>
    <hyperlink ref="K34:K35" location="'Biểu 2 Chi tiêu KTXH'!A1" display="'Biểu 2 Chi tiêu KTXH'!A1"/>
  </hyperlinks>
  <printOptions/>
  <pageMargins left="0.2755905511811024" right="0" top="0.5118110236220472" bottom="0.35433070866141736" header="0.31496062992125984" footer="0.1968503937007874"/>
  <pageSetup fitToHeight="0" fitToWidth="1" horizontalDpi="600" verticalDpi="600" orientation="portrait" paperSize="9" scale="67" r:id="rId1"/>
  <headerFooter>
    <oddFooter>&amp;CPHỤ LỤC II - Trang &amp;N</oddFooter>
  </headerFooter>
</worksheet>
</file>

<file path=xl/worksheets/sheet25.xml><?xml version="1.0" encoding="utf-8"?>
<worksheet xmlns="http://schemas.openxmlformats.org/spreadsheetml/2006/main" xmlns:r="http://schemas.openxmlformats.org/officeDocument/2006/relationships">
  <dimension ref="G22:K23"/>
  <sheetViews>
    <sheetView zoomScalePageLayoutView="0" workbookViewId="0" topLeftCell="A1">
      <selection activeCell="K24" sqref="K24"/>
    </sheetView>
  </sheetViews>
  <sheetFormatPr defaultColWidth="8.88671875" defaultRowHeight="18.75"/>
  <sheetData>
    <row r="22" ht="18.75">
      <c r="I22">
        <f>5690/1.9152</f>
        <v>2970.969089390142</v>
      </c>
    </row>
    <row r="23" spans="7:11" ht="18.75">
      <c r="G23">
        <f>2*2*237</f>
        <v>948</v>
      </c>
      <c r="K23">
        <f>299600/5419</f>
        <v>55.286953312419264</v>
      </c>
    </row>
  </sheetData>
  <sheetProtection/>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70C0"/>
    <pageSetUpPr fitToPage="1"/>
  </sheetPr>
  <dimension ref="A1:L161"/>
  <sheetViews>
    <sheetView view="pageBreakPreview" zoomScaleNormal="85" zoomScaleSheetLayoutView="100" workbookViewId="0" topLeftCell="A1">
      <selection activeCell="B7" sqref="B7"/>
    </sheetView>
  </sheetViews>
  <sheetFormatPr defaultColWidth="8.88671875" defaultRowHeight="18.75"/>
  <cols>
    <col min="1" max="1" width="4.99609375" style="0" bestFit="1" customWidth="1"/>
    <col min="2" max="2" width="43.6640625" style="3" customWidth="1"/>
    <col min="3" max="3" width="14.10546875" style="0" customWidth="1"/>
    <col min="4" max="4" width="13.4453125" style="1" customWidth="1"/>
    <col min="5" max="5" width="5.88671875" style="1" hidden="1" customWidth="1"/>
    <col min="6" max="6" width="9.77734375" style="139" customWidth="1"/>
    <col min="7" max="7" width="17.4453125" style="1" customWidth="1"/>
    <col min="8" max="8" width="8.3359375" style="2" customWidth="1"/>
    <col min="9" max="9" width="9.88671875" style="137" customWidth="1"/>
    <col min="10" max="10" width="5.3359375" style="278" customWidth="1"/>
    <col min="11" max="11" width="7.21484375" style="160" customWidth="1"/>
    <col min="12" max="12" width="22.4453125" style="161" customWidth="1"/>
  </cols>
  <sheetData>
    <row r="1" spans="1:9" ht="18.75">
      <c r="A1" s="599" t="s">
        <v>577</v>
      </c>
      <c r="B1" s="599"/>
      <c r="C1" s="599"/>
      <c r="D1" s="599"/>
      <c r="E1" s="599"/>
      <c r="F1" s="599"/>
      <c r="G1" s="599"/>
      <c r="H1" s="599"/>
      <c r="I1" s="599"/>
    </row>
    <row r="2" spans="1:12" s="15" customFormat="1" ht="81" customHeight="1">
      <c r="A2" s="600" t="s">
        <v>441</v>
      </c>
      <c r="B2" s="600"/>
      <c r="C2" s="600"/>
      <c r="D2" s="600"/>
      <c r="E2" s="600"/>
      <c r="F2" s="600"/>
      <c r="G2" s="600"/>
      <c r="H2" s="600"/>
      <c r="I2" s="600"/>
      <c r="J2" s="279"/>
      <c r="K2" s="548" t="s">
        <v>452</v>
      </c>
      <c r="L2" s="464"/>
    </row>
    <row r="3" spans="1:12" ht="18.75">
      <c r="A3" s="601"/>
      <c r="B3" s="601"/>
      <c r="C3" s="601"/>
      <c r="D3" s="601"/>
      <c r="E3" s="601"/>
      <c r="F3" s="601"/>
      <c r="G3" s="601"/>
      <c r="H3" s="601"/>
      <c r="I3" s="601"/>
      <c r="K3" s="464"/>
      <c r="L3" s="464"/>
    </row>
    <row r="4" spans="1:12" ht="6.75" customHeight="1">
      <c r="A4" s="602"/>
      <c r="B4" s="602"/>
      <c r="C4" s="602"/>
      <c r="D4" s="602"/>
      <c r="E4" s="602"/>
      <c r="F4" s="602"/>
      <c r="G4" s="602"/>
      <c r="H4" s="602"/>
      <c r="I4" s="602"/>
      <c r="K4" s="464"/>
      <c r="L4" s="464"/>
    </row>
    <row r="5" spans="1:12" ht="18.75" customHeight="1">
      <c r="A5" s="472" t="s">
        <v>9</v>
      </c>
      <c r="B5" s="472" t="s">
        <v>0</v>
      </c>
      <c r="C5" s="551" t="s">
        <v>104</v>
      </c>
      <c r="D5" s="552"/>
      <c r="E5" s="552"/>
      <c r="F5" s="553"/>
      <c r="G5" s="476" t="s">
        <v>114</v>
      </c>
      <c r="H5" s="476"/>
      <c r="I5" s="476"/>
      <c r="K5" s="464"/>
      <c r="L5" s="464"/>
    </row>
    <row r="6" spans="1:12" ht="47.25">
      <c r="A6" s="473"/>
      <c r="B6" s="473"/>
      <c r="C6" s="140" t="s">
        <v>106</v>
      </c>
      <c r="D6" s="141" t="s">
        <v>463</v>
      </c>
      <c r="E6" s="141"/>
      <c r="F6" s="142" t="s">
        <v>105</v>
      </c>
      <c r="G6" s="142" t="s">
        <v>28</v>
      </c>
      <c r="H6" s="140" t="s">
        <v>29</v>
      </c>
      <c r="I6" s="141" t="s">
        <v>579</v>
      </c>
      <c r="K6" s="464"/>
      <c r="L6" s="464"/>
    </row>
    <row r="7" spans="1:12" s="12" customFormat="1" ht="31.5">
      <c r="A7" s="24" t="s">
        <v>1</v>
      </c>
      <c r="B7" s="293" t="s">
        <v>34</v>
      </c>
      <c r="C7" s="24"/>
      <c r="D7" s="24"/>
      <c r="E7" s="24"/>
      <c r="F7" s="24" t="s">
        <v>116</v>
      </c>
      <c r="G7" s="24"/>
      <c r="H7" s="43">
        <f>+H8+H10</f>
        <v>17.5</v>
      </c>
      <c r="I7" s="24"/>
      <c r="J7" s="280"/>
      <c r="K7" s="464"/>
      <c r="L7" s="464"/>
    </row>
    <row r="8" spans="1:12" s="50" customFormat="1" ht="95.25" customHeight="1">
      <c r="A8" s="472">
        <v>1</v>
      </c>
      <c r="B8" s="541" t="s">
        <v>35</v>
      </c>
      <c r="C8" s="543" t="s">
        <v>103</v>
      </c>
      <c r="D8" s="544"/>
      <c r="E8" s="294"/>
      <c r="F8" s="47">
        <v>5</v>
      </c>
      <c r="G8" s="504" t="s">
        <v>197</v>
      </c>
      <c r="H8" s="545">
        <v>5</v>
      </c>
      <c r="I8" s="478" t="str">
        <f>+IF(H8=F8,"Tối đa",IF(H8&gt;F9,"Trung bình",IF(H8=F9,"Tối thiểu","Không đạt")))</f>
        <v>Tối đa</v>
      </c>
      <c r="J8" s="278"/>
      <c r="K8" s="464"/>
      <c r="L8" s="464"/>
    </row>
    <row r="9" spans="1:12" s="50" customFormat="1" ht="80.25" customHeight="1">
      <c r="A9" s="473"/>
      <c r="B9" s="542"/>
      <c r="C9" s="543" t="s">
        <v>121</v>
      </c>
      <c r="D9" s="544"/>
      <c r="E9" s="294"/>
      <c r="F9" s="296">
        <v>3.75</v>
      </c>
      <c r="G9" s="504"/>
      <c r="H9" s="545"/>
      <c r="I9" s="478"/>
      <c r="J9" s="278"/>
      <c r="K9" s="464"/>
      <c r="L9" s="464"/>
    </row>
    <row r="10" spans="1:12" s="50" customFormat="1" ht="18.75">
      <c r="A10" s="24">
        <v>2</v>
      </c>
      <c r="B10" s="293" t="s">
        <v>36</v>
      </c>
      <c r="C10" s="479"/>
      <c r="D10" s="480"/>
      <c r="E10" s="297"/>
      <c r="F10" s="43"/>
      <c r="G10" s="298"/>
      <c r="H10" s="299">
        <f>SUM(H11:H24)</f>
        <v>12.5</v>
      </c>
      <c r="I10" s="24"/>
      <c r="J10" s="278"/>
      <c r="K10" s="464"/>
      <c r="L10" s="464"/>
    </row>
    <row r="11" spans="1:12" ht="18.75">
      <c r="A11" s="485" t="s">
        <v>14</v>
      </c>
      <c r="B11" s="502" t="s">
        <v>2</v>
      </c>
      <c r="C11" s="538" t="s">
        <v>115</v>
      </c>
      <c r="D11" s="539"/>
      <c r="E11" s="300" t="str">
        <f>+C11</f>
        <v>Dư</v>
      </c>
      <c r="F11" s="45">
        <v>2</v>
      </c>
      <c r="G11" s="540" t="s">
        <v>115</v>
      </c>
      <c r="H11" s="490">
        <v>2</v>
      </c>
      <c r="I11" s="478" t="str">
        <f>+IF(H11=F11,"Tối đa",IF(H11&gt;F12,"Trung bình",IF(H11=F12,"Tối thiểu","Không đạt")))</f>
        <v>Tối đa</v>
      </c>
      <c r="J11" s="481"/>
      <c r="K11" s="536" t="s">
        <v>230</v>
      </c>
      <c r="L11" s="537" t="str">
        <f>'THÔNG TIN CHUNG'!$B$10</f>
        <v>PHÒNG TÀI CHÍNH - KẾ HOẠCH</v>
      </c>
    </row>
    <row r="12" spans="1:12" ht="18.75">
      <c r="A12" s="486"/>
      <c r="B12" s="503"/>
      <c r="C12" s="538" t="s">
        <v>10</v>
      </c>
      <c r="D12" s="539"/>
      <c r="E12" s="300" t="str">
        <f>+C12</f>
        <v>Đủ</v>
      </c>
      <c r="F12" s="45">
        <v>1.5</v>
      </c>
      <c r="G12" s="540"/>
      <c r="H12" s="490"/>
      <c r="I12" s="478"/>
      <c r="J12" s="482"/>
      <c r="K12" s="536"/>
      <c r="L12" s="537"/>
    </row>
    <row r="13" spans="1:12" ht="18.75">
      <c r="A13" s="485" t="s">
        <v>13</v>
      </c>
      <c r="B13" s="496" t="s">
        <v>118</v>
      </c>
      <c r="C13" s="49" t="s">
        <v>117</v>
      </c>
      <c r="D13" s="49" t="str">
        <f>C13</f>
        <v> ≥ 0,7</v>
      </c>
      <c r="E13" s="49">
        <v>0.7</v>
      </c>
      <c r="F13" s="45">
        <v>2</v>
      </c>
      <c r="G13" s="499">
        <f>'Biểu 2 Chi tiêu KTXH'!F9/95.6</f>
        <v>0.4236401673640168</v>
      </c>
      <c r="H13" s="490">
        <f>ROUND(IF(G13&gt;E13,F13,(IF(G13&lt;D14,0,(IF(G13&lt;E14,F14,FORECAST(G13,F13:F14,E13:E14)))))),2)</f>
        <v>1.5</v>
      </c>
      <c r="I13" s="478" t="str">
        <f>+IF(H13=F13,"Tối đa",IF(H13&gt;F14,"Trung bình",IF(H13=F14,"Tối thiểu","Không đạt")))</f>
        <v>Tối thiểu</v>
      </c>
      <c r="J13" s="516"/>
      <c r="K13" s="523" t="s">
        <v>231</v>
      </c>
      <c r="L13" s="524" t="str">
        <f>'THÔNG TIN CHUNG'!B21</f>
        <v>CHI CỤC THỐNG KÊ KHU VỰC 
KON PLONG - KON RẪY</v>
      </c>
    </row>
    <row r="14" spans="1:12" ht="18.75">
      <c r="A14" s="486"/>
      <c r="B14" s="497"/>
      <c r="C14" s="301">
        <v>0.5</v>
      </c>
      <c r="D14" s="49">
        <f>+C14*0.7</f>
        <v>0.35</v>
      </c>
      <c r="E14" s="49">
        <f>+C14</f>
        <v>0.5</v>
      </c>
      <c r="F14" s="45">
        <v>1.5</v>
      </c>
      <c r="G14" s="499"/>
      <c r="H14" s="490"/>
      <c r="I14" s="478"/>
      <c r="J14" s="517"/>
      <c r="K14" s="523"/>
      <c r="L14" s="524"/>
    </row>
    <row r="15" spans="1:12" s="9" customFormat="1" ht="34.5" customHeight="1">
      <c r="A15" s="485" t="s">
        <v>24</v>
      </c>
      <c r="B15" s="496" t="s">
        <v>284</v>
      </c>
      <c r="C15" s="534" t="s">
        <v>119</v>
      </c>
      <c r="D15" s="535"/>
      <c r="E15" s="302">
        <v>4</v>
      </c>
      <c r="F15" s="45">
        <v>2</v>
      </c>
      <c r="G15" s="533">
        <f>+'Biểu 2 Chi tiêu KTXH'!F11/19.07*4.92</f>
        <v>14.189826953329838</v>
      </c>
      <c r="H15" s="490">
        <f>ROUND(IF(G15&gt;E15,F15,(IF(G15&lt;E16,0,(IF(G15&lt;E16,F16,FORECAST(G15,F15:F16,E15:E16)))))),2)</f>
        <v>2</v>
      </c>
      <c r="I15" s="478" t="str">
        <f>+IF(H15=F15,"Tối đa",IF(H15&gt;F16,"Trung bình",IF(H15=F16,"Tối thiểu","Không đạt")))</f>
        <v>Tối đa</v>
      </c>
      <c r="J15" s="481"/>
      <c r="K15" s="523"/>
      <c r="L15" s="524"/>
    </row>
    <row r="16" spans="1:12" s="9" customFormat="1" ht="18.75">
      <c r="A16" s="486"/>
      <c r="B16" s="497"/>
      <c r="C16" s="534" t="s">
        <v>120</v>
      </c>
      <c r="D16" s="535"/>
      <c r="E16" s="288">
        <v>1</v>
      </c>
      <c r="F16" s="45">
        <v>1.5</v>
      </c>
      <c r="G16" s="533"/>
      <c r="H16" s="490"/>
      <c r="I16" s="478"/>
      <c r="J16" s="482"/>
      <c r="K16" s="523"/>
      <c r="L16" s="524"/>
    </row>
    <row r="17" spans="1:12" ht="18.75">
      <c r="A17" s="485" t="s">
        <v>23</v>
      </c>
      <c r="B17" s="496" t="s">
        <v>37</v>
      </c>
      <c r="C17" s="49" t="s">
        <v>122</v>
      </c>
      <c r="D17" s="49" t="str">
        <f>C17</f>
        <v>≥ 7,0</v>
      </c>
      <c r="E17" s="49">
        <v>7</v>
      </c>
      <c r="F17" s="45">
        <v>2</v>
      </c>
      <c r="G17" s="533">
        <f>+('Biểu 2 Chi tiêu KTXH'!D10+'Biểu 2 Chi tiêu KTXH'!E10+'Biểu 2 Chi tiêu KTXH'!F10)/3</f>
        <v>15.066666666666668</v>
      </c>
      <c r="H17" s="490">
        <f>ROUND(IF(G17&gt;E17,F17,(IF(G17&lt;D18,0,(IF(G17&lt;E18,F18,FORECAST(G17,F17:F18,E17:E18)))))),2)</f>
        <v>2</v>
      </c>
      <c r="I17" s="478" t="str">
        <f>+IF(H17=F17,"Tối đa",IF(H17&gt;F18,"Trung bình",IF(H17=F18,"Tối thiểu","Không đạt")))</f>
        <v>Tối đa</v>
      </c>
      <c r="J17" s="481"/>
      <c r="K17" s="523"/>
      <c r="L17" s="524"/>
    </row>
    <row r="18" spans="1:12" ht="18.75">
      <c r="A18" s="486"/>
      <c r="B18" s="497"/>
      <c r="C18" s="303">
        <v>6</v>
      </c>
      <c r="D18" s="49">
        <f>C18*0.7</f>
        <v>4.199999999999999</v>
      </c>
      <c r="E18" s="303">
        <f>+C18</f>
        <v>6</v>
      </c>
      <c r="F18" s="45">
        <v>1</v>
      </c>
      <c r="G18" s="533"/>
      <c r="H18" s="490"/>
      <c r="I18" s="478"/>
      <c r="J18" s="482"/>
      <c r="K18" s="523"/>
      <c r="L18" s="524"/>
    </row>
    <row r="19" spans="1:12" ht="18.75">
      <c r="A19" s="485" t="s">
        <v>22</v>
      </c>
      <c r="B19" s="496" t="s">
        <v>504</v>
      </c>
      <c r="C19" s="49" t="s">
        <v>505</v>
      </c>
      <c r="D19" s="49" t="str">
        <f>C19</f>
        <v>≥ 1,25</v>
      </c>
      <c r="E19" s="49">
        <v>1.25</v>
      </c>
      <c r="F19" s="45">
        <v>2</v>
      </c>
      <c r="G19" s="533">
        <f>'Biểu 2 Chi tiêu KTXH'!F10/8.02</f>
        <v>1.9576059850374066</v>
      </c>
      <c r="H19" s="490">
        <f>ROUND(IF(G19&gt;E19,F19,(IF(G19&lt;D20,0,(IF(G19&lt;E20,F20,FORECAST(G19,F19:F20,E19:E20)))))),2)</f>
        <v>2</v>
      </c>
      <c r="I19" s="478" t="str">
        <f>+IF(H19=F19,"Tối đa",IF(H19&gt;F20,"Trung bình",IF(H19=F20,"Tối thiểu","Không đạt")))</f>
        <v>Tối đa</v>
      </c>
      <c r="J19" s="228"/>
      <c r="K19" s="335"/>
      <c r="L19" s="336"/>
    </row>
    <row r="20" spans="1:12" ht="18.75">
      <c r="A20" s="486"/>
      <c r="B20" s="497"/>
      <c r="C20" s="303">
        <v>1</v>
      </c>
      <c r="D20" s="49">
        <f>C20*0.7</f>
        <v>0.7</v>
      </c>
      <c r="E20" s="303">
        <f>+C20</f>
        <v>1</v>
      </c>
      <c r="F20" s="45">
        <v>1.5</v>
      </c>
      <c r="G20" s="533"/>
      <c r="H20" s="490"/>
      <c r="I20" s="478"/>
      <c r="J20" s="228"/>
      <c r="K20" s="335"/>
      <c r="L20" s="336"/>
    </row>
    <row r="21" spans="1:12" s="23" customFormat="1" ht="18.75">
      <c r="A21" s="485" t="s">
        <v>21</v>
      </c>
      <c r="B21" s="502" t="s">
        <v>123</v>
      </c>
      <c r="C21" s="49" t="s">
        <v>124</v>
      </c>
      <c r="D21" s="49" t="str">
        <f>+C21</f>
        <v>≤ 5,0</v>
      </c>
      <c r="E21" s="49">
        <v>5</v>
      </c>
      <c r="F21" s="45">
        <v>2</v>
      </c>
      <c r="G21" s="533">
        <f>'Biểu 3 Hộ nghèo'!E18</f>
        <v>4.250386398763524</v>
      </c>
      <c r="H21" s="490">
        <v>2</v>
      </c>
      <c r="I21" s="478" t="str">
        <f>+IF(H21=F21,"Tối đa",IF(H21&gt;F22,"Trung bình",IF(H21=F22,"Tối thiểu","Không đạt")))</f>
        <v>Tối đa</v>
      </c>
      <c r="J21" s="481"/>
      <c r="K21" s="531" t="s">
        <v>232</v>
      </c>
      <c r="L21" s="532" t="str">
        <f>'THÔNG TIN CHUNG'!$B$14</f>
        <v>PHÒNG LAO ĐỘNG - THƯƠNG BINH &amp; XÃ HỘI</v>
      </c>
    </row>
    <row r="22" spans="1:12" s="23" customFormat="1" ht="18.75">
      <c r="A22" s="486"/>
      <c r="B22" s="503"/>
      <c r="C22" s="303">
        <v>6</v>
      </c>
      <c r="D22" s="304">
        <f>+C22/0.7</f>
        <v>8.571428571428571</v>
      </c>
      <c r="E22" s="304">
        <f>+C22</f>
        <v>6</v>
      </c>
      <c r="F22" s="45">
        <v>1</v>
      </c>
      <c r="G22" s="533"/>
      <c r="H22" s="490"/>
      <c r="I22" s="478"/>
      <c r="J22" s="482"/>
      <c r="K22" s="531"/>
      <c r="L22" s="532"/>
    </row>
    <row r="23" spans="1:12" ht="18.75">
      <c r="A23" s="485" t="s">
        <v>250</v>
      </c>
      <c r="B23" s="496" t="s">
        <v>125</v>
      </c>
      <c r="C23" s="49" t="s">
        <v>126</v>
      </c>
      <c r="D23" s="49" t="str">
        <f>+C23</f>
        <v>≥ 1,2</v>
      </c>
      <c r="E23" s="49">
        <v>1.2</v>
      </c>
      <c r="F23" s="45">
        <v>1</v>
      </c>
      <c r="G23" s="499">
        <f>'Biểu 2 Chi tiêu KTXH'!F13/10</f>
        <v>2.1</v>
      </c>
      <c r="H23" s="490">
        <f>ROUND(IF(G23&gt;E23,F23,(IF(G23&lt;D24,0,(IF(G23&lt;E24,F24,FORECAST(G23,F23:F24,E23:E24)))))),2)</f>
        <v>1</v>
      </c>
      <c r="I23" s="478" t="str">
        <f>+IF(H23=F23,"Tối đa",IF(H23&gt;F24,"Trung bình",IF(H23=F24,"Tối thiểu","Không đạt")))</f>
        <v>Tối đa</v>
      </c>
      <c r="J23" s="481"/>
      <c r="K23" s="523" t="str">
        <f>+$K$13</f>
        <v>Biểu 2</v>
      </c>
      <c r="L23" s="524" t="str">
        <f>+$L$13</f>
        <v>CHI CỤC THỐNG KÊ KHU VỰC 
KON PLONG - KON RẪY</v>
      </c>
    </row>
    <row r="24" spans="1:12" ht="18.75">
      <c r="A24" s="486"/>
      <c r="B24" s="497"/>
      <c r="C24" s="49">
        <v>0.8</v>
      </c>
      <c r="D24" s="49">
        <f>+C24*0.7</f>
        <v>0.5599999999999999</v>
      </c>
      <c r="E24" s="49">
        <f>+C24</f>
        <v>0.8</v>
      </c>
      <c r="F24" s="54">
        <v>0.75</v>
      </c>
      <c r="G24" s="499"/>
      <c r="H24" s="490"/>
      <c r="I24" s="478"/>
      <c r="J24" s="482"/>
      <c r="K24" s="523"/>
      <c r="L24" s="524"/>
    </row>
    <row r="25" spans="1:12" s="14" customFormat="1" ht="18.75">
      <c r="A25" s="24" t="s">
        <v>3</v>
      </c>
      <c r="B25" s="25" t="s">
        <v>38</v>
      </c>
      <c r="C25" s="24"/>
      <c r="D25" s="305"/>
      <c r="E25" s="305"/>
      <c r="F25" s="43" t="s">
        <v>41</v>
      </c>
      <c r="G25" s="326"/>
      <c r="H25" s="299">
        <f>H26</f>
        <v>6.21</v>
      </c>
      <c r="I25" s="24"/>
      <c r="J25" s="110"/>
      <c r="K25" s="167"/>
      <c r="L25" s="168"/>
    </row>
    <row r="26" spans="1:12" ht="25.5">
      <c r="A26" s="485">
        <v>1</v>
      </c>
      <c r="B26" s="598" t="s">
        <v>229</v>
      </c>
      <c r="C26" s="49" t="s">
        <v>166</v>
      </c>
      <c r="D26" s="49" t="s">
        <v>166</v>
      </c>
      <c r="E26" s="49">
        <v>20</v>
      </c>
      <c r="F26" s="46">
        <v>8</v>
      </c>
      <c r="G26" s="529">
        <f>'Biểu 2 Chi tiêu KTXH'!F12/1000+'Biểu 4 Dân số tạm trú'!F13/1000</f>
        <v>5.6899999999999995</v>
      </c>
      <c r="H26" s="490">
        <f>ROUND(IF(G26&gt;E26,F26,(IF(G26&lt;D27,0,(IF(G26&lt;E27,F27,FORECAST(G26,F26:F27,E26:E27)))))),2)</f>
        <v>6.21</v>
      </c>
      <c r="I26" s="478" t="str">
        <f>+IF(H26=F26,"Tối đa",IF(H26&gt;F27,"Trung bình",IF(H26=F27,"Tối thiểu","Không đạt")))</f>
        <v>Trung bình</v>
      </c>
      <c r="J26" s="481"/>
      <c r="K26" s="162" t="s">
        <v>231</v>
      </c>
      <c r="L26" s="336" t="str">
        <f>+L23</f>
        <v>CHI CỤC THỐNG KÊ KHU VỰC 
KON PLONG - KON RẪY</v>
      </c>
    </row>
    <row r="27" spans="1:12" ht="18.75">
      <c r="A27" s="486"/>
      <c r="B27" s="503"/>
      <c r="C27" s="276">
        <v>4</v>
      </c>
      <c r="D27" s="276">
        <f>+C27*0.6</f>
        <v>2.4</v>
      </c>
      <c r="E27" s="276">
        <v>4</v>
      </c>
      <c r="F27" s="46">
        <v>6</v>
      </c>
      <c r="G27" s="529"/>
      <c r="H27" s="490"/>
      <c r="I27" s="478"/>
      <c r="J27" s="482"/>
      <c r="K27" s="162" t="s">
        <v>432</v>
      </c>
      <c r="L27" s="163" t="str">
        <f>'THÔNG TIN CHUNG'!$B$20</f>
        <v>CÔNG AN HUYỆN KON RẪY</v>
      </c>
    </row>
    <row r="28" spans="1:12" s="14" customFormat="1" ht="18.75">
      <c r="A28" s="24" t="s">
        <v>4</v>
      </c>
      <c r="B28" s="25" t="s">
        <v>5</v>
      </c>
      <c r="C28" s="24"/>
      <c r="D28" s="305"/>
      <c r="E28" s="305"/>
      <c r="F28" s="43" t="s">
        <v>41</v>
      </c>
      <c r="G28" s="326"/>
      <c r="H28" s="299">
        <f>H29+H31</f>
        <v>6.5</v>
      </c>
      <c r="I28" s="24"/>
      <c r="J28" s="110"/>
      <c r="K28" s="167"/>
      <c r="L28" s="168"/>
    </row>
    <row r="29" spans="1:12" ht="18.75">
      <c r="A29" s="485">
        <v>1</v>
      </c>
      <c r="B29" s="502" t="s">
        <v>107</v>
      </c>
      <c r="C29" s="49" t="s">
        <v>128</v>
      </c>
      <c r="D29" s="49" t="s">
        <v>128</v>
      </c>
      <c r="E29" s="49">
        <v>1200</v>
      </c>
      <c r="F29" s="47">
        <v>2</v>
      </c>
      <c r="G29" s="530">
        <f>+G26*1000/(('Biểu 6 Cơ cấu SDD'!C8-'Biểu 6 Cơ cấu SDD'!C28)*0.01)</f>
        <v>1244.722507820532</v>
      </c>
      <c r="H29" s="490">
        <f>ROUND(IF(G29&gt;E29,F29,(IF(G29&lt;D30,0,(IF(G29&lt;E30,F30,FORECAST(G29,F29:F30,E29:E30)))))),2)</f>
        <v>2</v>
      </c>
      <c r="I29" s="478" t="str">
        <f>+IF(H29=F29,"Tối đa",IF(H29&gt;F30,"Trung bình",IF(H29=F30,"Tối thiểu","Không đạt")))</f>
        <v>Tối đa</v>
      </c>
      <c r="J29" s="527"/>
      <c r="K29" s="525"/>
      <c r="L29" s="526"/>
    </row>
    <row r="30" spans="1:12" ht="18.75">
      <c r="A30" s="486"/>
      <c r="B30" s="503"/>
      <c r="C30" s="49">
        <v>1000</v>
      </c>
      <c r="D30" s="49">
        <f>+C30*0.5</f>
        <v>500</v>
      </c>
      <c r="E30" s="49">
        <v>500</v>
      </c>
      <c r="F30" s="46">
        <v>1.5</v>
      </c>
      <c r="G30" s="530"/>
      <c r="H30" s="490"/>
      <c r="I30" s="478"/>
      <c r="J30" s="528"/>
      <c r="K30" s="525"/>
      <c r="L30" s="526"/>
    </row>
    <row r="31" spans="1:12" ht="18.75">
      <c r="A31" s="485" t="s">
        <v>39</v>
      </c>
      <c r="B31" s="487" t="s">
        <v>234</v>
      </c>
      <c r="C31" s="49" t="s">
        <v>129</v>
      </c>
      <c r="D31" s="49" t="str">
        <f>+C31</f>
        <v>≥ 4000</v>
      </c>
      <c r="E31" s="49">
        <v>4000</v>
      </c>
      <c r="F31" s="47">
        <v>6</v>
      </c>
      <c r="G31" s="522">
        <f>+G26*1000/('Biểu 6 Cơ cấu SDD'!C9*0.01)</f>
        <v>2970.930308449398</v>
      </c>
      <c r="H31" s="490">
        <f>ROUND(IF(G31&gt;E31,F31,(IF(G31&lt;D32,0,(IF(G31&lt;E32,F32,FORECAST(G31,F31:F32,E31:E32)))))),2)</f>
        <v>4.5</v>
      </c>
      <c r="I31" s="478" t="str">
        <f>+IF(H31=F31,"Tối đa",IF(H31&gt;F32,"Trung bình",IF(H31=F32,"Tối thiểu","Không đạt")))</f>
        <v>Tối thiểu</v>
      </c>
      <c r="J31" s="527"/>
      <c r="K31" s="525"/>
      <c r="L31" s="526"/>
    </row>
    <row r="32" spans="1:12" ht="18.75">
      <c r="A32" s="486"/>
      <c r="B32" s="488"/>
      <c r="C32" s="49">
        <v>3000</v>
      </c>
      <c r="D32" s="49">
        <f>+C32*0.7</f>
        <v>2100</v>
      </c>
      <c r="E32" s="49">
        <v>3000</v>
      </c>
      <c r="F32" s="46">
        <v>4.5</v>
      </c>
      <c r="G32" s="522"/>
      <c r="H32" s="490"/>
      <c r="I32" s="478"/>
      <c r="J32" s="528"/>
      <c r="K32" s="525"/>
      <c r="L32" s="526"/>
    </row>
    <row r="33" spans="1:12" s="14" customFormat="1" ht="18.75">
      <c r="A33" s="24" t="s">
        <v>6</v>
      </c>
      <c r="B33" s="25" t="s">
        <v>7</v>
      </c>
      <c r="C33" s="24"/>
      <c r="D33" s="305"/>
      <c r="E33" s="305"/>
      <c r="F33" s="43" t="s">
        <v>40</v>
      </c>
      <c r="G33" s="326"/>
      <c r="H33" s="299">
        <f>SUM(H34)</f>
        <v>4.5</v>
      </c>
      <c r="I33" s="24"/>
      <c r="J33" s="110"/>
      <c r="K33" s="167"/>
      <c r="L33" s="168"/>
    </row>
    <row r="34" spans="1:12" s="4" customFormat="1" ht="18.75">
      <c r="A34" s="485">
        <v>1</v>
      </c>
      <c r="B34" s="598" t="s">
        <v>235</v>
      </c>
      <c r="C34" s="49">
        <v>65</v>
      </c>
      <c r="D34" s="49">
        <f>C34</f>
        <v>65</v>
      </c>
      <c r="E34" s="49">
        <f>+C34</f>
        <v>65</v>
      </c>
      <c r="F34" s="47">
        <v>6</v>
      </c>
      <c r="G34" s="522">
        <f>+'Biểu 2 Chi tiêu KTXH'!F16</f>
        <v>39</v>
      </c>
      <c r="H34" s="490">
        <f>ROUND(IF(G34&gt;E34,F34,(IF(G34&lt;D35,0,(IF(G34&lt;E35,F35,FORECAST(G34,F34:F35,E34:E35)))))),2)</f>
        <v>4.5</v>
      </c>
      <c r="I34" s="478" t="str">
        <f>+IF(H34=F34,"Tối đa",IF(H34&gt;F35,"Trung bình",IF(H34=F35,"Tối thiểu","Không đạt")))</f>
        <v>Tối thiểu</v>
      </c>
      <c r="J34" s="481"/>
      <c r="K34" s="523" t="str">
        <f>+$K$13</f>
        <v>Biểu 2</v>
      </c>
      <c r="L34" s="524" t="str">
        <f>+$L$13</f>
        <v>CHI CỤC THỐNG KÊ KHU VỰC 
KON PLONG - KON RẪY</v>
      </c>
    </row>
    <row r="35" spans="1:12" s="4" customFormat="1" ht="18.75">
      <c r="A35" s="486"/>
      <c r="B35" s="497"/>
      <c r="C35" s="49">
        <v>55</v>
      </c>
      <c r="D35" s="49">
        <f>C35*0.7</f>
        <v>38.5</v>
      </c>
      <c r="E35" s="49">
        <f>+C35</f>
        <v>55</v>
      </c>
      <c r="F35" s="47">
        <v>4.5</v>
      </c>
      <c r="G35" s="522"/>
      <c r="H35" s="490"/>
      <c r="I35" s="478"/>
      <c r="J35" s="482"/>
      <c r="K35" s="523"/>
      <c r="L35" s="524"/>
    </row>
    <row r="36" spans="1:12" s="4" customFormat="1" ht="31.5">
      <c r="A36" s="24" t="s">
        <v>8</v>
      </c>
      <c r="B36" s="293" t="s">
        <v>198</v>
      </c>
      <c r="C36" s="293"/>
      <c r="D36" s="293"/>
      <c r="E36" s="293"/>
      <c r="F36" s="43" t="s">
        <v>42</v>
      </c>
      <c r="G36" s="327"/>
      <c r="H36" s="320" t="e">
        <f>H37+H133</f>
        <v>#REF!</v>
      </c>
      <c r="I36" s="293"/>
      <c r="J36" s="157"/>
      <c r="K36" s="70"/>
      <c r="L36" s="72"/>
    </row>
    <row r="37" spans="1:12" ht="31.5">
      <c r="A37" s="24" t="s">
        <v>112</v>
      </c>
      <c r="B37" s="293" t="s">
        <v>130</v>
      </c>
      <c r="C37" s="24"/>
      <c r="D37" s="306"/>
      <c r="E37" s="306"/>
      <c r="F37" s="43"/>
      <c r="G37" s="325"/>
      <c r="H37" s="299" t="e">
        <f>H38+H61+H92+H118</f>
        <v>#REF!</v>
      </c>
      <c r="I37" s="24"/>
      <c r="J37" s="110"/>
      <c r="K37" s="70"/>
      <c r="L37" s="72"/>
    </row>
    <row r="38" spans="1:12" s="13" customFormat="1" ht="18.75">
      <c r="A38" s="24" t="s">
        <v>32</v>
      </c>
      <c r="B38" s="305" t="s">
        <v>43</v>
      </c>
      <c r="C38" s="24"/>
      <c r="D38" s="306"/>
      <c r="E38" s="306"/>
      <c r="F38" s="43" t="s">
        <v>576</v>
      </c>
      <c r="G38" s="325"/>
      <c r="H38" s="299">
        <f>H39+H44</f>
        <v>7.5600000000000005</v>
      </c>
      <c r="I38" s="24"/>
      <c r="J38" s="110"/>
      <c r="K38" s="73"/>
      <c r="L38" s="155"/>
    </row>
    <row r="39" spans="1:12" ht="18.75">
      <c r="A39" s="24" t="s">
        <v>15</v>
      </c>
      <c r="B39" s="25" t="s">
        <v>44</v>
      </c>
      <c r="C39" s="24"/>
      <c r="D39" s="306"/>
      <c r="E39" s="306"/>
      <c r="F39" s="43" t="s">
        <v>78</v>
      </c>
      <c r="G39" s="325"/>
      <c r="H39" s="299">
        <f>SUM(H40:H43)</f>
        <v>0.81</v>
      </c>
      <c r="I39" s="24"/>
      <c r="J39" s="158"/>
      <c r="K39" s="70"/>
      <c r="L39" s="72"/>
    </row>
    <row r="40" spans="1:12" ht="18.75">
      <c r="A40" s="485" t="s">
        <v>45</v>
      </c>
      <c r="B40" s="496" t="s">
        <v>131</v>
      </c>
      <c r="C40" s="49" t="s">
        <v>132</v>
      </c>
      <c r="D40" s="49" t="str">
        <f>+C40</f>
        <v>≥28</v>
      </c>
      <c r="E40" s="49">
        <v>28</v>
      </c>
      <c r="F40" s="47">
        <v>1</v>
      </c>
      <c r="G40" s="499">
        <f>'Biểu 5 Nhà ở'!G16</f>
        <v>0</v>
      </c>
      <c r="H40" s="490">
        <f>ROUND(IF(G40&gt;E40,F40,(IF(G40&lt;D41,0,(IF(G40&lt;E41,F41,FORECAST(G40,F40:F41,E40:E41)))))),2)</f>
        <v>0</v>
      </c>
      <c r="I40" s="478" t="str">
        <f>+IF(H40=F40,"Tối đa",IF(H40&gt;F41,"Trung bình",IF(H40=F41,"Tối thiểu","Không đạt")))</f>
        <v>Không đạt</v>
      </c>
      <c r="J40" s="481"/>
      <c r="K40" s="509" t="s">
        <v>236</v>
      </c>
      <c r="L40" s="520" t="str">
        <f>'THÔNG TIN CHUNG'!$B$25</f>
        <v>UBND XÃ ĐĂK RUỒNG</v>
      </c>
    </row>
    <row r="41" spans="1:12" ht="18.75">
      <c r="A41" s="486"/>
      <c r="B41" s="497"/>
      <c r="C41" s="49">
        <v>26</v>
      </c>
      <c r="D41" s="49">
        <f>+C41*0.7</f>
        <v>18.2</v>
      </c>
      <c r="E41" s="49">
        <f>+C41</f>
        <v>26</v>
      </c>
      <c r="F41" s="46">
        <v>0.75</v>
      </c>
      <c r="G41" s="499"/>
      <c r="H41" s="490"/>
      <c r="I41" s="478"/>
      <c r="J41" s="482"/>
      <c r="K41" s="509"/>
      <c r="L41" s="521"/>
    </row>
    <row r="42" spans="1:12" ht="18.75">
      <c r="A42" s="485" t="s">
        <v>46</v>
      </c>
      <c r="B42" s="496" t="s">
        <v>133</v>
      </c>
      <c r="C42" s="49" t="s">
        <v>134</v>
      </c>
      <c r="D42" s="49" t="str">
        <f>+C42</f>
        <v>≥90</v>
      </c>
      <c r="E42" s="49">
        <v>90</v>
      </c>
      <c r="F42" s="47">
        <v>1</v>
      </c>
      <c r="G42" s="499">
        <f>'Biểu 5 Nhà ở'!E16</f>
        <v>86.21460506706408</v>
      </c>
      <c r="H42" s="490">
        <f>ROUND(IF(G42&gt;E42,F42,(IF(G42&lt;D43,0,(IF(G42&lt;E43,F43,FORECAST(G42,F42:F43,E42:E43)))))),2)</f>
        <v>0.81</v>
      </c>
      <c r="I42" s="478" t="str">
        <f>+IF(H42=F42,"Tối đa",IF(H42&gt;F43,"Trung bình",IF(H42=F43,"Tối thiểu","Không đạt")))</f>
        <v>Trung bình</v>
      </c>
      <c r="J42" s="481"/>
      <c r="K42" s="509"/>
      <c r="L42" s="520" t="str">
        <f>'THÔNG TIN CHUNG'!$B$26</f>
        <v>UBND XÃ TÂN LẬP</v>
      </c>
    </row>
    <row r="43" spans="1:12" ht="18.75">
      <c r="A43" s="486"/>
      <c r="B43" s="497"/>
      <c r="C43" s="49">
        <v>85</v>
      </c>
      <c r="D43" s="49">
        <f>+C43*0.7</f>
        <v>59.49999999999999</v>
      </c>
      <c r="E43" s="49">
        <f>+C43</f>
        <v>85</v>
      </c>
      <c r="F43" s="46">
        <v>0.75</v>
      </c>
      <c r="G43" s="499"/>
      <c r="H43" s="490"/>
      <c r="I43" s="478"/>
      <c r="J43" s="482"/>
      <c r="K43" s="509"/>
      <c r="L43" s="521"/>
    </row>
    <row r="44" spans="1:12" ht="18.75">
      <c r="A44" s="24" t="s">
        <v>25</v>
      </c>
      <c r="B44" s="25" t="s">
        <v>47</v>
      </c>
      <c r="C44" s="24"/>
      <c r="D44" s="306"/>
      <c r="E44" s="306"/>
      <c r="F44" s="43" t="s">
        <v>41</v>
      </c>
      <c r="G44" s="325"/>
      <c r="H44" s="299">
        <f>SUM(H45:H60)</f>
        <v>6.75</v>
      </c>
      <c r="I44" s="24"/>
      <c r="J44" s="158"/>
      <c r="K44" s="70"/>
      <c r="L44" s="72"/>
    </row>
    <row r="45" spans="1:12" ht="18.75">
      <c r="A45" s="485" t="s">
        <v>48</v>
      </c>
      <c r="B45" s="502" t="s">
        <v>135</v>
      </c>
      <c r="C45" s="49">
        <v>100</v>
      </c>
      <c r="D45" s="49">
        <f>+C45</f>
        <v>100</v>
      </c>
      <c r="E45" s="49">
        <f>+C45</f>
        <v>100</v>
      </c>
      <c r="F45" s="47">
        <v>1</v>
      </c>
      <c r="G45" s="515">
        <f>'Biểu 6 Cơ cấu SDD'!C10*10000/(G26*1000)</f>
        <v>257.6801405975396</v>
      </c>
      <c r="H45" s="490">
        <f>ROUND(IF(G45&gt;E45,F45,(IF(G45&lt;D46,0,(IF(G45&lt;E46,F46,FORECAST(G45,F45:F46,E45:E46)))))),2)</f>
        <v>1</v>
      </c>
      <c r="I45" s="478" t="str">
        <f aca="true" t="shared" si="0" ref="I45:I59">+IF(H45=F45,"Tối đa",IF(H45&gt;F46,"Trung bình",IF(H45=F46,"Tối thiểu","Không đạt")))</f>
        <v>Tối đa</v>
      </c>
      <c r="J45" s="481"/>
      <c r="K45" s="518" t="s">
        <v>238</v>
      </c>
      <c r="L45" s="519" t="str">
        <f>'THÔNG TIN CHUNG'!B24</f>
        <v>PHÒNG TÀI NGUYÊN - MÔI TRƯỜNG</v>
      </c>
    </row>
    <row r="46" spans="1:12" ht="18.75">
      <c r="A46" s="486"/>
      <c r="B46" s="503"/>
      <c r="C46" s="49">
        <v>70</v>
      </c>
      <c r="D46" s="49">
        <f>C46*0.7</f>
        <v>49</v>
      </c>
      <c r="E46" s="49">
        <f>+C46</f>
        <v>70</v>
      </c>
      <c r="F46" s="46">
        <v>0.75</v>
      </c>
      <c r="G46" s="515"/>
      <c r="H46" s="490"/>
      <c r="I46" s="478"/>
      <c r="J46" s="482"/>
      <c r="K46" s="518"/>
      <c r="L46" s="519"/>
    </row>
    <row r="47" spans="1:12" s="22" customFormat="1" ht="18.75">
      <c r="A47" s="485" t="s">
        <v>49</v>
      </c>
      <c r="B47" s="496" t="s">
        <v>136</v>
      </c>
      <c r="C47" s="49" t="s">
        <v>137</v>
      </c>
      <c r="D47" s="49" t="str">
        <f>+C47</f>
        <v>≥3,5</v>
      </c>
      <c r="E47" s="49">
        <v>3.5</v>
      </c>
      <c r="F47" s="47">
        <v>1</v>
      </c>
      <c r="G47" s="515">
        <f>'Biểu 6 Cơ cấu SDD'!C14*10000/(G26*1000)</f>
        <v>16.344463971880494</v>
      </c>
      <c r="H47" s="490">
        <f>ROUND(IF(G47&gt;E47,F47,(IF(G47&lt;D48,0,(IF(G47&lt;E48,F48,FORECAST(G47,F47:F48,E47:E48)))))),2)</f>
        <v>1</v>
      </c>
      <c r="I47" s="478" t="str">
        <f t="shared" si="0"/>
        <v>Tối đa</v>
      </c>
      <c r="J47" s="481"/>
      <c r="K47" s="518"/>
      <c r="L47" s="519"/>
    </row>
    <row r="48" spans="1:12" s="22" customFormat="1" ht="18.75">
      <c r="A48" s="486"/>
      <c r="B48" s="497"/>
      <c r="C48" s="49">
        <v>3</v>
      </c>
      <c r="D48" s="49">
        <f>+C48*0.7</f>
        <v>2.0999999999999996</v>
      </c>
      <c r="E48" s="49">
        <f>+C48</f>
        <v>3</v>
      </c>
      <c r="F48" s="46">
        <v>0.75</v>
      </c>
      <c r="G48" s="515"/>
      <c r="H48" s="490"/>
      <c r="I48" s="478"/>
      <c r="J48" s="482"/>
      <c r="K48" s="518"/>
      <c r="L48" s="519"/>
    </row>
    <row r="49" spans="1:12" ht="18.75">
      <c r="A49" s="485" t="s">
        <v>50</v>
      </c>
      <c r="B49" s="496" t="s">
        <v>108</v>
      </c>
      <c r="C49" s="49" t="s">
        <v>138</v>
      </c>
      <c r="D49" s="49" t="str">
        <f>+C49</f>
        <v> ≥1,5</v>
      </c>
      <c r="E49" s="49">
        <v>1.5</v>
      </c>
      <c r="F49" s="47">
        <v>1</v>
      </c>
      <c r="G49" s="515">
        <f>'Biểu 6 Cơ cấu SDD'!C13*10000/(G26*1000)</f>
        <v>5.975395430579966</v>
      </c>
      <c r="H49" s="490">
        <f>ROUND(IF(G49&gt;E49,F49,(IF(G49&lt;D50,0,(IF(G49&lt;E50,F50,FORECAST(G49,F49:F50,E49:E50)))))),2)</f>
        <v>1</v>
      </c>
      <c r="I49" s="478" t="str">
        <f t="shared" si="0"/>
        <v>Tối đa</v>
      </c>
      <c r="J49" s="481"/>
      <c r="K49" s="518"/>
      <c r="L49" s="519"/>
    </row>
    <row r="50" spans="1:12" ht="18.75">
      <c r="A50" s="486"/>
      <c r="B50" s="497"/>
      <c r="C50" s="49">
        <v>1</v>
      </c>
      <c r="D50" s="49">
        <f>+C50*0.7</f>
        <v>0.7</v>
      </c>
      <c r="E50" s="49">
        <f>+C50</f>
        <v>1</v>
      </c>
      <c r="F50" s="46">
        <v>0.75</v>
      </c>
      <c r="G50" s="515"/>
      <c r="H50" s="490"/>
      <c r="I50" s="478"/>
      <c r="J50" s="482"/>
      <c r="K50" s="518"/>
      <c r="L50" s="519"/>
    </row>
    <row r="51" spans="1:12" s="22" customFormat="1" ht="18.75">
      <c r="A51" s="485" t="s">
        <v>51</v>
      </c>
      <c r="B51" s="496" t="s">
        <v>506</v>
      </c>
      <c r="C51" s="49" t="s">
        <v>139</v>
      </c>
      <c r="D51" s="49" t="str">
        <f>+C51</f>
        <v>≥30</v>
      </c>
      <c r="E51" s="49">
        <v>30</v>
      </c>
      <c r="F51" s="47">
        <v>1</v>
      </c>
      <c r="G51" s="515">
        <f>'Biểu 7 Cơ sở y tế'!C8/(G26/10)</f>
        <v>149.38488576449913</v>
      </c>
      <c r="H51" s="490">
        <f>ROUND(IF(G51&gt;E51,F51,(IF(G51&lt;D52,0,(IF(G51&lt;E52,F52,FORECAST(G51,F51:F52,E51:E52)))))),2)</f>
        <v>1</v>
      </c>
      <c r="I51" s="478" t="str">
        <f t="shared" si="0"/>
        <v>Tối đa</v>
      </c>
      <c r="J51" s="516"/>
      <c r="K51" s="491" t="s">
        <v>239</v>
      </c>
      <c r="L51" s="501" t="str">
        <f>'THÔNG TIN CHUNG'!$B$22</f>
        <v>PHÒNG Y TẾ</v>
      </c>
    </row>
    <row r="52" spans="1:12" s="22" customFormat="1" ht="18.75">
      <c r="A52" s="486"/>
      <c r="B52" s="497"/>
      <c r="C52" s="49">
        <v>25</v>
      </c>
      <c r="D52" s="49">
        <f>+C52*0.7</f>
        <v>17.5</v>
      </c>
      <c r="E52" s="49">
        <f>+C52</f>
        <v>25</v>
      </c>
      <c r="F52" s="46">
        <v>0.75</v>
      </c>
      <c r="G52" s="515"/>
      <c r="H52" s="490"/>
      <c r="I52" s="478"/>
      <c r="J52" s="517"/>
      <c r="K52" s="491"/>
      <c r="L52" s="501"/>
    </row>
    <row r="53" spans="1:12" s="9" customFormat="1" ht="18.75">
      <c r="A53" s="485" t="s">
        <v>56</v>
      </c>
      <c r="B53" s="496" t="s">
        <v>52</v>
      </c>
      <c r="C53" s="49" t="s">
        <v>140</v>
      </c>
      <c r="D53" s="49" t="str">
        <f>+C53</f>
        <v>≥2</v>
      </c>
      <c r="E53" s="49">
        <v>2</v>
      </c>
      <c r="F53" s="47">
        <v>1</v>
      </c>
      <c r="G53" s="499">
        <f>'Biểu 8 Cơ sở giáo dục'!D14+'Biểu 8 Cơ sở giáo dục'!D16</f>
        <v>2</v>
      </c>
      <c r="H53" s="490">
        <f>ROUND(IF(G53&gt;E53,F53,(IF(G53&lt;D54,0,(IF(G53&lt;E54,F54,FORECAST(G53,F53:F54,E53:E54)))))),2)</f>
        <v>1</v>
      </c>
      <c r="I53" s="478" t="str">
        <f t="shared" si="0"/>
        <v>Tối đa</v>
      </c>
      <c r="J53" s="481"/>
      <c r="K53" s="491" t="s">
        <v>240</v>
      </c>
      <c r="L53" s="501" t="str">
        <f>'THÔNG TIN CHUNG'!B15</f>
        <v>PHÒNG GIÁO DỤC &amp; ĐÀO TẠO</v>
      </c>
    </row>
    <row r="54" spans="1:12" s="9" customFormat="1" ht="18.75">
      <c r="A54" s="486"/>
      <c r="B54" s="497"/>
      <c r="C54" s="49">
        <v>1</v>
      </c>
      <c r="D54" s="49">
        <v>1</v>
      </c>
      <c r="E54" s="49">
        <f>+C54</f>
        <v>1</v>
      </c>
      <c r="F54" s="46">
        <v>0.75</v>
      </c>
      <c r="G54" s="499"/>
      <c r="H54" s="490"/>
      <c r="I54" s="478"/>
      <c r="J54" s="482"/>
      <c r="K54" s="491"/>
      <c r="L54" s="501"/>
    </row>
    <row r="55" spans="1:12" s="22" customFormat="1" ht="18.75">
      <c r="A55" s="485" t="s">
        <v>57</v>
      </c>
      <c r="B55" s="496" t="s">
        <v>53</v>
      </c>
      <c r="C55" s="49" t="s">
        <v>140</v>
      </c>
      <c r="D55" s="49" t="str">
        <f>+C55</f>
        <v>≥2</v>
      </c>
      <c r="E55" s="49">
        <v>2</v>
      </c>
      <c r="F55" s="47">
        <v>1</v>
      </c>
      <c r="G55" s="499">
        <f>'Biểu 9 Ctrinh văn hóa'!D8</f>
        <v>3</v>
      </c>
      <c r="H55" s="490">
        <f>ROUND(IF(G55&gt;E55,F55,(IF(G55&lt;D56,0,(IF(G55&lt;E56,F56,FORECAST(G55,F55:F56,E55:E56)))))),2)</f>
        <v>1</v>
      </c>
      <c r="I55" s="478" t="str">
        <f t="shared" si="0"/>
        <v>Tối đa</v>
      </c>
      <c r="J55" s="481"/>
      <c r="K55" s="491" t="s">
        <v>241</v>
      </c>
      <c r="L55" s="501" t="str">
        <f>'THÔNG TIN CHUNG'!B16</f>
        <v>PHÒNG VĂN HÓA - THÔNG TIN</v>
      </c>
    </row>
    <row r="56" spans="1:12" s="22" customFormat="1" ht="18.75">
      <c r="A56" s="486"/>
      <c r="B56" s="497"/>
      <c r="C56" s="49">
        <v>1</v>
      </c>
      <c r="D56" s="49">
        <v>1</v>
      </c>
      <c r="E56" s="49">
        <f>+C56</f>
        <v>1</v>
      </c>
      <c r="F56" s="46">
        <v>0.75</v>
      </c>
      <c r="G56" s="499"/>
      <c r="H56" s="490"/>
      <c r="I56" s="478"/>
      <c r="J56" s="482"/>
      <c r="K56" s="491"/>
      <c r="L56" s="501"/>
    </row>
    <row r="57" spans="1:12" s="22" customFormat="1" ht="18.75">
      <c r="A57" s="485" t="s">
        <v>58</v>
      </c>
      <c r="B57" s="496" t="s">
        <v>54</v>
      </c>
      <c r="C57" s="49" t="s">
        <v>140</v>
      </c>
      <c r="D57" s="49" t="str">
        <f>+C57</f>
        <v>≥2</v>
      </c>
      <c r="E57" s="49">
        <v>2</v>
      </c>
      <c r="F57" s="47">
        <v>1</v>
      </c>
      <c r="G57" s="499">
        <f>'Biểu 9 Ctrinh văn hóa'!D12</f>
        <v>0</v>
      </c>
      <c r="H57" s="490">
        <f>ROUND(IF(G57&gt;E57,F57,(IF(G57&lt;D58,0,(IF(G57&lt;E58,F58,FORECAST(G57,F57:F58,E57:E58)))))),2)</f>
        <v>0</v>
      </c>
      <c r="I57" s="478" t="str">
        <f t="shared" si="0"/>
        <v>Không đạt</v>
      </c>
      <c r="J57" s="481"/>
      <c r="K57" s="491"/>
      <c r="L57" s="501"/>
    </row>
    <row r="58" spans="1:12" s="22" customFormat="1" ht="18.75">
      <c r="A58" s="486"/>
      <c r="B58" s="497"/>
      <c r="C58" s="49">
        <v>1</v>
      </c>
      <c r="D58" s="49">
        <v>1</v>
      </c>
      <c r="E58" s="49">
        <f>+C58</f>
        <v>1</v>
      </c>
      <c r="F58" s="46">
        <v>0.75</v>
      </c>
      <c r="G58" s="499"/>
      <c r="H58" s="490"/>
      <c r="I58" s="478"/>
      <c r="J58" s="482"/>
      <c r="K58" s="491"/>
      <c r="L58" s="501"/>
    </row>
    <row r="59" spans="1:12" ht="18.75">
      <c r="A59" s="513" t="s">
        <v>59</v>
      </c>
      <c r="B59" s="514" t="s">
        <v>55</v>
      </c>
      <c r="C59" s="49" t="s">
        <v>140</v>
      </c>
      <c r="D59" s="49" t="str">
        <f>+C59</f>
        <v>≥2</v>
      </c>
      <c r="E59" s="49">
        <v>2</v>
      </c>
      <c r="F59" s="47">
        <v>1</v>
      </c>
      <c r="G59" s="499">
        <f>'Biểu 10 Ctrinh TMDV'!D10</f>
        <v>1</v>
      </c>
      <c r="H59" s="490">
        <f>ROUND(IF(G59&gt;E59,F59,(IF(G59&lt;D60,0,(IF(G59&lt;E60,F60,FORECAST(G59,F59:F60,E59:E60)))))),2)</f>
        <v>0.75</v>
      </c>
      <c r="I59" s="478" t="str">
        <f t="shared" si="0"/>
        <v>Tối thiểu</v>
      </c>
      <c r="J59" s="505"/>
      <c r="K59" s="509" t="s">
        <v>242</v>
      </c>
      <c r="L59" s="492" t="str">
        <f>L40</f>
        <v>UBND XÃ ĐĂK RUỒNG</v>
      </c>
    </row>
    <row r="60" spans="1:12" ht="18.75">
      <c r="A60" s="513"/>
      <c r="B60" s="514"/>
      <c r="C60" s="49">
        <v>1</v>
      </c>
      <c r="D60" s="49">
        <v>1</v>
      </c>
      <c r="E60" s="49">
        <f>+C60</f>
        <v>1</v>
      </c>
      <c r="F60" s="46">
        <v>0.75</v>
      </c>
      <c r="G60" s="499"/>
      <c r="H60" s="490"/>
      <c r="I60" s="478"/>
      <c r="J60" s="505"/>
      <c r="K60" s="509"/>
      <c r="L60" s="492"/>
    </row>
    <row r="61" spans="1:12" ht="18.75">
      <c r="A61" s="24" t="s">
        <v>39</v>
      </c>
      <c r="B61" s="25" t="s">
        <v>60</v>
      </c>
      <c r="C61" s="24"/>
      <c r="D61" s="306"/>
      <c r="E61" s="306"/>
      <c r="F61" s="43" t="s">
        <v>61</v>
      </c>
      <c r="G61" s="325"/>
      <c r="H61" s="299" t="e">
        <f>H62+H73+H80+H85</f>
        <v>#REF!</v>
      </c>
      <c r="I61" s="24"/>
      <c r="J61" s="158"/>
      <c r="K61" s="70"/>
      <c r="L61" s="72"/>
    </row>
    <row r="62" spans="1:12" ht="18.75">
      <c r="A62" s="24" t="s">
        <v>14</v>
      </c>
      <c r="B62" s="25" t="s">
        <v>62</v>
      </c>
      <c r="C62" s="24"/>
      <c r="D62" s="306"/>
      <c r="E62" s="306"/>
      <c r="F62" s="43" t="s">
        <v>40</v>
      </c>
      <c r="G62" s="325"/>
      <c r="H62" s="299" t="e">
        <f>SUM(H63:H72)</f>
        <v>#REF!</v>
      </c>
      <c r="I62" s="24"/>
      <c r="J62" s="158"/>
      <c r="K62" s="70"/>
      <c r="L62" s="72"/>
    </row>
    <row r="63" spans="1:12" ht="27.75" customHeight="1">
      <c r="A63" s="485" t="s">
        <v>63</v>
      </c>
      <c r="B63" s="496" t="s">
        <v>141</v>
      </c>
      <c r="C63" s="512" t="s">
        <v>142</v>
      </c>
      <c r="D63" s="493"/>
      <c r="E63" s="307" t="str">
        <f>+C63</f>
        <v>Vùng liên huyện</v>
      </c>
      <c r="F63" s="47">
        <v>1</v>
      </c>
      <c r="G63" s="489" t="s">
        <v>551</v>
      </c>
      <c r="H63" s="490">
        <v>0</v>
      </c>
      <c r="I63" s="478" t="str">
        <f aca="true" t="shared" si="1" ref="I63:I71">+IF(H63=F63,"Tối đa",IF(H63&gt;F64,"Trung bình",IF(H63=F64,"Tối thiểu","Không đạt")))</f>
        <v>Không đạt</v>
      </c>
      <c r="J63" s="481"/>
      <c r="K63" s="509" t="s">
        <v>243</v>
      </c>
      <c r="L63" s="492" t="str">
        <f>L40</f>
        <v>UBND XÃ ĐĂK RUỒNG</v>
      </c>
    </row>
    <row r="64" spans="1:12" ht="27.75" customHeight="1">
      <c r="A64" s="486"/>
      <c r="B64" s="497"/>
      <c r="C64" s="512" t="s">
        <v>143</v>
      </c>
      <c r="D64" s="493"/>
      <c r="E64" s="307" t="str">
        <f>+C64</f>
        <v> Huyện</v>
      </c>
      <c r="F64" s="46">
        <v>0.75</v>
      </c>
      <c r="G64" s="489"/>
      <c r="H64" s="490"/>
      <c r="I64" s="478"/>
      <c r="J64" s="482"/>
      <c r="K64" s="509"/>
      <c r="L64" s="492"/>
    </row>
    <row r="65" spans="1:12" ht="18.75">
      <c r="A65" s="485" t="s">
        <v>65</v>
      </c>
      <c r="B65" s="510" t="s">
        <v>144</v>
      </c>
      <c r="C65" s="49" t="s">
        <v>145</v>
      </c>
      <c r="D65" s="49" t="str">
        <f>+C65</f>
        <v>≥16</v>
      </c>
      <c r="E65" s="49">
        <v>16</v>
      </c>
      <c r="F65" s="47">
        <v>1</v>
      </c>
      <c r="G65" s="499">
        <f>+'Biểu 11 Giao thông'!K42</f>
        <v>15.642391886070826</v>
      </c>
      <c r="H65" s="490">
        <f aca="true" t="shared" si="2" ref="H65:H71">ROUND(IF(G65&gt;E65,F65,(IF(G65&lt;D66,0,(IF(G65&lt;E66,F66,FORECAST(G65,F65:F66,E65:E66)))))),2)</f>
        <v>0.98</v>
      </c>
      <c r="I65" s="478" t="str">
        <f t="shared" si="1"/>
        <v>Trung bình</v>
      </c>
      <c r="J65" s="481"/>
      <c r="K65" s="509"/>
      <c r="L65" s="492"/>
    </row>
    <row r="66" spans="1:12" ht="18.75">
      <c r="A66" s="486"/>
      <c r="B66" s="511"/>
      <c r="C66" s="49">
        <v>11</v>
      </c>
      <c r="D66" s="49">
        <f>+C66*0.7</f>
        <v>7.699999999999999</v>
      </c>
      <c r="E66" s="49">
        <f>+C66</f>
        <v>11</v>
      </c>
      <c r="F66" s="46">
        <v>0.75</v>
      </c>
      <c r="G66" s="499"/>
      <c r="H66" s="490"/>
      <c r="I66" s="478"/>
      <c r="J66" s="482"/>
      <c r="K66" s="509"/>
      <c r="L66" s="492"/>
    </row>
    <row r="67" spans="1:12" ht="18.75">
      <c r="A67" s="485" t="s">
        <v>66</v>
      </c>
      <c r="B67" s="496" t="s">
        <v>569</v>
      </c>
      <c r="C67" s="49" t="s">
        <v>146</v>
      </c>
      <c r="D67" s="49" t="str">
        <f>+C67</f>
        <v>≥6</v>
      </c>
      <c r="E67" s="49">
        <v>6</v>
      </c>
      <c r="F67" s="47">
        <v>2</v>
      </c>
      <c r="G67" s="499">
        <f>'Biểu 11 Giao thông'!K44</f>
        <v>5.448931587672466</v>
      </c>
      <c r="H67" s="490">
        <f t="shared" si="2"/>
        <v>1.72</v>
      </c>
      <c r="I67" s="478" t="str">
        <f t="shared" si="1"/>
        <v>Trung bình</v>
      </c>
      <c r="J67" s="505"/>
      <c r="K67" s="509"/>
      <c r="L67" s="492"/>
    </row>
    <row r="68" spans="1:12" ht="18.75">
      <c r="A68" s="486"/>
      <c r="B68" s="497"/>
      <c r="C68" s="49">
        <v>5</v>
      </c>
      <c r="D68" s="49">
        <f>+C68*0.7</f>
        <v>3.5</v>
      </c>
      <c r="E68" s="49">
        <f>+C68</f>
        <v>5</v>
      </c>
      <c r="F68" s="46">
        <v>1.5</v>
      </c>
      <c r="G68" s="499"/>
      <c r="H68" s="490"/>
      <c r="I68" s="478"/>
      <c r="J68" s="505"/>
      <c r="K68" s="509"/>
      <c r="L68" s="492"/>
    </row>
    <row r="69" spans="1:12" s="50" customFormat="1" ht="18.75">
      <c r="A69" s="485" t="s">
        <v>67</v>
      </c>
      <c r="B69" s="496" t="s">
        <v>147</v>
      </c>
      <c r="C69" s="49" t="s">
        <v>148</v>
      </c>
      <c r="D69" s="49" t="str">
        <f>+C69</f>
        <v>≥7</v>
      </c>
      <c r="E69" s="49">
        <v>6</v>
      </c>
      <c r="F69" s="47">
        <v>1</v>
      </c>
      <c r="G69" s="499" t="e">
        <f>'Biểu 11 Giao thông'!#REF!/(G26*1000)</f>
        <v>#REF!</v>
      </c>
      <c r="H69" s="490" t="e">
        <f t="shared" si="2"/>
        <v>#REF!</v>
      </c>
      <c r="I69" s="478" t="e">
        <f t="shared" si="1"/>
        <v>#REF!</v>
      </c>
      <c r="J69" s="481"/>
      <c r="K69" s="509"/>
      <c r="L69" s="492"/>
    </row>
    <row r="70" spans="1:12" s="50" customFormat="1" ht="18.75">
      <c r="A70" s="486"/>
      <c r="B70" s="497"/>
      <c r="C70" s="49">
        <v>5</v>
      </c>
      <c r="D70" s="49">
        <f>+C70*0.7</f>
        <v>3.5</v>
      </c>
      <c r="E70" s="49">
        <f>+C70</f>
        <v>5</v>
      </c>
      <c r="F70" s="46">
        <v>0.75</v>
      </c>
      <c r="G70" s="499"/>
      <c r="H70" s="490"/>
      <c r="I70" s="478"/>
      <c r="J70" s="482"/>
      <c r="K70" s="509"/>
      <c r="L70" s="492"/>
    </row>
    <row r="71" spans="1:12" ht="18.75">
      <c r="A71" s="485" t="s">
        <v>68</v>
      </c>
      <c r="B71" s="496" t="s">
        <v>64</v>
      </c>
      <c r="C71" s="49" t="s">
        <v>140</v>
      </c>
      <c r="D71" s="49" t="str">
        <f>+C71</f>
        <v>≥2</v>
      </c>
      <c r="E71" s="49">
        <v>2</v>
      </c>
      <c r="F71" s="47">
        <v>1</v>
      </c>
      <c r="G71" s="499">
        <f>'Biểu 12 Vận tải công cộng'!D9</f>
        <v>2.0421972073568306</v>
      </c>
      <c r="H71" s="490">
        <f t="shared" si="2"/>
        <v>1</v>
      </c>
      <c r="I71" s="478" t="str">
        <f t="shared" si="1"/>
        <v>Tối đa</v>
      </c>
      <c r="J71" s="481"/>
      <c r="K71" s="491" t="s">
        <v>352</v>
      </c>
      <c r="L71" s="501" t="str">
        <f>'THÔNG TIN CHUNG'!B17</f>
        <v>TRUNG TÂM MÔI TRƯỜNG VÀ DỊCH VỤ ĐÔ THỊ</v>
      </c>
    </row>
    <row r="72" spans="1:12" ht="18.75">
      <c r="A72" s="486"/>
      <c r="B72" s="497"/>
      <c r="C72" s="49">
        <v>1</v>
      </c>
      <c r="D72" s="49">
        <f>+C72*0.7</f>
        <v>0.7</v>
      </c>
      <c r="E72" s="49">
        <f>+C72</f>
        <v>1</v>
      </c>
      <c r="F72" s="46">
        <v>0.75</v>
      </c>
      <c r="G72" s="499"/>
      <c r="H72" s="490"/>
      <c r="I72" s="478"/>
      <c r="J72" s="482"/>
      <c r="K72" s="491"/>
      <c r="L72" s="501"/>
    </row>
    <row r="73" spans="1:12" ht="18.75">
      <c r="A73" s="24" t="s">
        <v>13</v>
      </c>
      <c r="B73" s="308" t="s">
        <v>102</v>
      </c>
      <c r="C73" s="24"/>
      <c r="D73" s="49"/>
      <c r="E73" s="49"/>
      <c r="F73" s="43" t="s">
        <v>70</v>
      </c>
      <c r="G73" s="325"/>
      <c r="H73" s="299">
        <f>SUM(H74:H79)</f>
        <v>2.75</v>
      </c>
      <c r="I73" s="24"/>
      <c r="J73" s="158"/>
      <c r="K73" s="70"/>
      <c r="L73" s="72"/>
    </row>
    <row r="74" spans="1:12" s="22" customFormat="1" ht="18.75">
      <c r="A74" s="485" t="s">
        <v>69</v>
      </c>
      <c r="B74" s="510" t="s">
        <v>149</v>
      </c>
      <c r="C74" s="49" t="s">
        <v>150</v>
      </c>
      <c r="D74" s="49" t="str">
        <f>+C74</f>
        <v>≥1000</v>
      </c>
      <c r="E74" s="49">
        <v>1000</v>
      </c>
      <c r="F74" s="47">
        <v>1</v>
      </c>
      <c r="G74" s="499">
        <f>'Biểu 13 Cấp điện'!C19/(G26*1000)</f>
        <v>391.15043936731115</v>
      </c>
      <c r="H74" s="490">
        <f>ROUND(IF(G74&gt;E74,F74,(IF(G74&lt;D75,0,(IF(G74&lt;E75,F75,FORECAST(G74,F74:F75,E74:E75)))))),2)</f>
        <v>0.75</v>
      </c>
      <c r="I74" s="478" t="str">
        <f>+IF(H74=F74,"Tối đa",IF(H74&gt;F75,"Trung bình",IF(H74=F75,"Tối thiểu","Không đạt")))</f>
        <v>Tối thiểu</v>
      </c>
      <c r="J74" s="481"/>
      <c r="K74" s="491" t="s">
        <v>245</v>
      </c>
      <c r="L74" s="501" t="str">
        <f>'THÔNG TIN CHUNG'!B23</f>
        <v>ĐIỆN LỰC KON RẪY</v>
      </c>
    </row>
    <row r="75" spans="1:12" s="22" customFormat="1" ht="18.75">
      <c r="A75" s="486"/>
      <c r="B75" s="511"/>
      <c r="C75" s="49">
        <v>400</v>
      </c>
      <c r="D75" s="49">
        <f>+C75*0.7</f>
        <v>280</v>
      </c>
      <c r="E75" s="49">
        <f>+C75</f>
        <v>400</v>
      </c>
      <c r="F75" s="46">
        <v>0.75</v>
      </c>
      <c r="G75" s="499"/>
      <c r="H75" s="490"/>
      <c r="I75" s="478"/>
      <c r="J75" s="482"/>
      <c r="K75" s="491"/>
      <c r="L75" s="501"/>
    </row>
    <row r="76" spans="1:12" ht="18.75">
      <c r="A76" s="485" t="s">
        <v>71</v>
      </c>
      <c r="B76" s="510" t="s">
        <v>151</v>
      </c>
      <c r="C76" s="49" t="s">
        <v>134</v>
      </c>
      <c r="D76" s="49" t="str">
        <f>+C76</f>
        <v>≥90</v>
      </c>
      <c r="E76" s="49">
        <v>90</v>
      </c>
      <c r="F76" s="47">
        <v>1</v>
      </c>
      <c r="G76" s="499">
        <f>'Biểu 11 Giao thông'!K45</f>
        <v>100</v>
      </c>
      <c r="H76" s="490">
        <f>ROUND(IF(G76&gt;E76,F76,(IF(G76&lt;D77,0,(IF(G76&lt;E77,F77,FORECAST(G76,F76:F77,E76:E77)))))),2)</f>
        <v>1</v>
      </c>
      <c r="I76" s="478" t="str">
        <f>+IF(H76=F76,"Tối đa",IF(H76&gt;F77,"Trung bình",IF(H76=F77,"Tối thiểu","Không đạt")))</f>
        <v>Tối đa</v>
      </c>
      <c r="J76" s="481"/>
      <c r="K76" s="509" t="s">
        <v>243</v>
      </c>
      <c r="L76" s="492" t="str">
        <f>L63</f>
        <v>UBND XÃ ĐĂK RUỒNG</v>
      </c>
    </row>
    <row r="77" spans="1:12" ht="18.75">
      <c r="A77" s="486"/>
      <c r="B77" s="511"/>
      <c r="C77" s="49">
        <v>80</v>
      </c>
      <c r="D77" s="49">
        <f>+C77*0.7</f>
        <v>56</v>
      </c>
      <c r="E77" s="49">
        <v>80</v>
      </c>
      <c r="F77" s="46">
        <v>0.75</v>
      </c>
      <c r="G77" s="499"/>
      <c r="H77" s="490"/>
      <c r="I77" s="478"/>
      <c r="J77" s="482"/>
      <c r="K77" s="509"/>
      <c r="L77" s="492"/>
    </row>
    <row r="78" spans="1:12" ht="18.75">
      <c r="A78" s="485" t="s">
        <v>72</v>
      </c>
      <c r="B78" s="487" t="s">
        <v>152</v>
      </c>
      <c r="C78" s="49" t="s">
        <v>154</v>
      </c>
      <c r="D78" s="49" t="str">
        <f>+C78</f>
        <v>≥70</v>
      </c>
      <c r="E78" s="49">
        <v>70</v>
      </c>
      <c r="F78" s="47">
        <v>1</v>
      </c>
      <c r="G78" s="499">
        <f>'Biểu 11 Giao thông'!K46</f>
        <v>100</v>
      </c>
      <c r="H78" s="490">
        <f>ROUND(IF(G78&gt;E78,F78,(IF(G78&lt;D79,0,(IF(G78&lt;E79,F79,FORECAST(G78,F78:F79,E78:E79)))))),2)</f>
        <v>1</v>
      </c>
      <c r="I78" s="478" t="str">
        <f>+IF(H78=F78,"Tối đa",IF(H78&gt;F79,"Trung bình",IF(H78=F79,"Tối thiểu","Không đạt")))</f>
        <v>Tối đa</v>
      </c>
      <c r="J78" s="481"/>
      <c r="K78" s="509"/>
      <c r="L78" s="492"/>
    </row>
    <row r="79" spans="1:12" ht="18.75">
      <c r="A79" s="486"/>
      <c r="B79" s="488"/>
      <c r="C79" s="49">
        <v>50</v>
      </c>
      <c r="D79" s="49">
        <f>+C79*0.7</f>
        <v>35</v>
      </c>
      <c r="E79" s="49">
        <v>50</v>
      </c>
      <c r="F79" s="46">
        <v>0.75</v>
      </c>
      <c r="G79" s="499"/>
      <c r="H79" s="490"/>
      <c r="I79" s="478"/>
      <c r="J79" s="482"/>
      <c r="K79" s="509"/>
      <c r="L79" s="492"/>
    </row>
    <row r="80" spans="1:12" ht="18.75">
      <c r="A80" s="24" t="s">
        <v>24</v>
      </c>
      <c r="B80" s="25" t="s">
        <v>73</v>
      </c>
      <c r="C80" s="24"/>
      <c r="D80" s="306"/>
      <c r="E80" s="306"/>
      <c r="F80" s="43" t="s">
        <v>70</v>
      </c>
      <c r="G80" s="325"/>
      <c r="H80" s="299">
        <f>SUM(H81:H84)</f>
        <v>1.8599999999999999</v>
      </c>
      <c r="I80" s="24"/>
      <c r="J80" s="158"/>
      <c r="K80" s="70"/>
      <c r="L80" s="72"/>
    </row>
    <row r="81" spans="1:12" ht="18.75">
      <c r="A81" s="485" t="s">
        <v>74</v>
      </c>
      <c r="B81" s="496" t="s">
        <v>573</v>
      </c>
      <c r="C81" s="49" t="s">
        <v>153</v>
      </c>
      <c r="D81" s="49" t="str">
        <f>+C81</f>
        <v>≥100</v>
      </c>
      <c r="E81" s="49">
        <v>100</v>
      </c>
      <c r="F81" s="47">
        <v>1</v>
      </c>
      <c r="G81" s="499">
        <f>'Biểu 14 Cấp nước'!C21*1000/('Biểu 14 Cấp nước'!C18)</f>
        <v>101.39334737969172</v>
      </c>
      <c r="H81" s="490">
        <f>ROUND(IF(G81&gt;E81,F81,(IF(G81&lt;D82,0,(IF(G81&lt;E82,F82,FORECAST(G81,F81:F82,E81:E82)))))),2)</f>
        <v>1</v>
      </c>
      <c r="I81" s="478" t="str">
        <f>+IF(H81=F81,"Tối đa",IF(H81&gt;F82,"Trung bình",IF(H81=F82,"Tối thiểu","Không đạt")))</f>
        <v>Tối đa</v>
      </c>
      <c r="J81" s="481"/>
      <c r="K81" s="491" t="s">
        <v>355</v>
      </c>
      <c r="L81" s="501" t="str">
        <f>L71</f>
        <v>TRUNG TÂM MÔI TRƯỜNG VÀ DỊCH VỤ ĐÔ THỊ</v>
      </c>
    </row>
    <row r="82" spans="1:12" ht="18.75">
      <c r="A82" s="486"/>
      <c r="B82" s="497"/>
      <c r="C82" s="49">
        <v>80</v>
      </c>
      <c r="D82" s="49">
        <f>+C82*0.7</f>
        <v>56</v>
      </c>
      <c r="E82" s="49">
        <f>+C82</f>
        <v>80</v>
      </c>
      <c r="F82" s="46">
        <v>0.75</v>
      </c>
      <c r="G82" s="499"/>
      <c r="H82" s="490"/>
      <c r="I82" s="478"/>
      <c r="J82" s="482"/>
      <c r="K82" s="491"/>
      <c r="L82" s="501"/>
    </row>
    <row r="83" spans="1:12" s="4" customFormat="1" ht="28.5" customHeight="1">
      <c r="A83" s="485" t="s">
        <v>75</v>
      </c>
      <c r="B83" s="496" t="s">
        <v>155</v>
      </c>
      <c r="C83" s="49" t="s">
        <v>156</v>
      </c>
      <c r="D83" s="49" t="str">
        <f>+C83</f>
        <v>≥95</v>
      </c>
      <c r="E83" s="49">
        <v>95</v>
      </c>
      <c r="F83" s="47">
        <v>1</v>
      </c>
      <c r="G83" s="499">
        <f>'Biểu 14 Cấp nước'!C18/(G26*1000)*100</f>
        <v>86.66590509666082</v>
      </c>
      <c r="H83" s="490">
        <f>ROUND(IF(G83&gt;E83,F83,(IF(G83&lt;D84,0,(IF(G83&lt;E84,F84,FORECAST(G83,F83:F84,E83:E84)))))),2)</f>
        <v>0.86</v>
      </c>
      <c r="I83" s="478" t="str">
        <f>+IF(H83=F83,"Tối đa",IF(H83&gt;F84,"Trung bình",IF(H83=F84,"Tối thiểu","Không đạt")))</f>
        <v>Trung bình</v>
      </c>
      <c r="J83" s="507"/>
      <c r="K83" s="491"/>
      <c r="L83" s="501"/>
    </row>
    <row r="84" spans="1:12" s="4" customFormat="1" ht="28.5" customHeight="1">
      <c r="A84" s="486"/>
      <c r="B84" s="497"/>
      <c r="C84" s="49">
        <v>80</v>
      </c>
      <c r="D84" s="49">
        <f>+C84*0.7</f>
        <v>56</v>
      </c>
      <c r="E84" s="49">
        <f>+C84</f>
        <v>80</v>
      </c>
      <c r="F84" s="46">
        <v>0.75</v>
      </c>
      <c r="G84" s="499"/>
      <c r="H84" s="490"/>
      <c r="I84" s="478"/>
      <c r="J84" s="508"/>
      <c r="K84" s="491"/>
      <c r="L84" s="501"/>
    </row>
    <row r="85" spans="1:12" ht="18.75">
      <c r="A85" s="24" t="s">
        <v>23</v>
      </c>
      <c r="B85" s="25" t="s">
        <v>76</v>
      </c>
      <c r="C85" s="24"/>
      <c r="D85" s="306"/>
      <c r="E85" s="306"/>
      <c r="F85" s="43" t="s">
        <v>78</v>
      </c>
      <c r="G85" s="325"/>
      <c r="H85" s="299">
        <f>SUM(H86:H91)</f>
        <v>2.5300000000000002</v>
      </c>
      <c r="I85" s="24"/>
      <c r="J85" s="158"/>
      <c r="K85" s="70"/>
      <c r="L85" s="72"/>
    </row>
    <row r="86" spans="1:12" s="23" customFormat="1" ht="18.75">
      <c r="A86" s="485" t="s">
        <v>160</v>
      </c>
      <c r="B86" s="496" t="s">
        <v>199</v>
      </c>
      <c r="C86" s="49" t="s">
        <v>157</v>
      </c>
      <c r="D86" s="49" t="str">
        <f>+C86</f>
        <v>≥80</v>
      </c>
      <c r="E86" s="49">
        <v>80</v>
      </c>
      <c r="F86" s="47">
        <v>1</v>
      </c>
      <c r="G86" s="499">
        <f>'Biểu 15 Viễn thông'!C10/(G26*10)</f>
        <v>67.66256590509667</v>
      </c>
      <c r="H86" s="490">
        <f>ROUND(IF(G86&gt;E86,F86,(IF(G86&lt;D87,0,(IF(G86&lt;E87,F87,FORECAST(G86,F86:F87,E86:E87)))))),2)</f>
        <v>0.75</v>
      </c>
      <c r="I86" s="478" t="str">
        <f>+IF(H86=F86,"Tối đa",IF(H86&gt;F87,"Trung bình",IF(H86=F87,"Tối thiểu","Không đạt")))</f>
        <v>Tối thiểu</v>
      </c>
      <c r="J86" s="481"/>
      <c r="K86" s="491" t="s">
        <v>356</v>
      </c>
      <c r="L86" s="501" t="str">
        <f>L55</f>
        <v>PHÒNG VĂN HÓA - THÔNG TIN</v>
      </c>
    </row>
    <row r="87" spans="1:12" s="23" customFormat="1" ht="18.75">
      <c r="A87" s="486"/>
      <c r="B87" s="497"/>
      <c r="C87" s="49">
        <v>70</v>
      </c>
      <c r="D87" s="49">
        <f>+C87*0.7</f>
        <v>49</v>
      </c>
      <c r="E87" s="49">
        <f>+C87</f>
        <v>70</v>
      </c>
      <c r="F87" s="46">
        <v>0.75</v>
      </c>
      <c r="G87" s="499"/>
      <c r="H87" s="490"/>
      <c r="I87" s="478"/>
      <c r="J87" s="482"/>
      <c r="K87" s="491"/>
      <c r="L87" s="501"/>
    </row>
    <row r="88" spans="1:12" s="23" customFormat="1" ht="18.75">
      <c r="A88" s="485" t="s">
        <v>77</v>
      </c>
      <c r="B88" s="496" t="s">
        <v>159</v>
      </c>
      <c r="C88" s="49">
        <v>100</v>
      </c>
      <c r="D88" s="49">
        <f>+C88</f>
        <v>100</v>
      </c>
      <c r="E88" s="49">
        <f>+C88</f>
        <v>100</v>
      </c>
      <c r="F88" s="47">
        <v>1</v>
      </c>
      <c r="G88" s="499">
        <f>'Biểu 15 Viễn thông'!D10/'Biểu 5 Nhà ở'!C16%</f>
        <v>65.49925484351714</v>
      </c>
      <c r="H88" s="490">
        <f>ROUND(IF(G88&gt;E88,F88,(IF(G88&lt;D89,0,(IF(G88&lt;E89,F89,FORECAST(G88,F88:F89,E88:E89)))))),2)</f>
        <v>0.78</v>
      </c>
      <c r="I88" s="478" t="str">
        <f>+IF(H88=F88,"Tối đa",IF(H88&gt;F89,"Trung bình",IF(H88=F89,"Tối thiểu","Không đạt")))</f>
        <v>Trung bình</v>
      </c>
      <c r="J88" s="481"/>
      <c r="K88" s="491"/>
      <c r="L88" s="501"/>
    </row>
    <row r="89" spans="1:12" s="23" customFormat="1" ht="18.75">
      <c r="A89" s="486"/>
      <c r="B89" s="497"/>
      <c r="C89" s="49">
        <v>60</v>
      </c>
      <c r="D89" s="49">
        <f>+C89*0.7</f>
        <v>42</v>
      </c>
      <c r="E89" s="49">
        <f>+C89</f>
        <v>60</v>
      </c>
      <c r="F89" s="46">
        <v>0.75</v>
      </c>
      <c r="G89" s="499"/>
      <c r="H89" s="490"/>
      <c r="I89" s="478"/>
      <c r="J89" s="482"/>
      <c r="K89" s="491"/>
      <c r="L89" s="501"/>
    </row>
    <row r="90" spans="1:12" s="23" customFormat="1" ht="18.75">
      <c r="A90" s="485" t="s">
        <v>158</v>
      </c>
      <c r="B90" s="496" t="s">
        <v>161</v>
      </c>
      <c r="C90" s="49" t="s">
        <v>109</v>
      </c>
      <c r="D90" s="49" t="str">
        <f>+C90</f>
        <v>≥50</v>
      </c>
      <c r="E90" s="49">
        <v>50</v>
      </c>
      <c r="F90" s="47">
        <v>1</v>
      </c>
      <c r="G90" s="499">
        <f>'Biểu 16 DV công trực tuyến'!D11</f>
        <v>51.74</v>
      </c>
      <c r="H90" s="490">
        <f>ROUND(IF(G90&gt;E90,F90,(IF(G90&lt;D91,0,(IF(G90&lt;E91,F91,FORECAST(G90,F90:F91,E90:E91)))))),2)</f>
        <v>1</v>
      </c>
      <c r="I90" s="478" t="str">
        <f>+IF(H90=F90,"Tối đa",IF(H90&gt;F91,"Trung bình",IF(H90=F91,"Tối thiểu","Không đạt")))</f>
        <v>Tối đa</v>
      </c>
      <c r="J90" s="481"/>
      <c r="K90" s="491" t="s">
        <v>357</v>
      </c>
      <c r="L90" s="501" t="str">
        <f>'THÔNG TIN CHUNG'!B19</f>
        <v>VĂN PHÒNG HĐND-UBND</v>
      </c>
    </row>
    <row r="91" spans="1:12" s="50" customFormat="1" ht="18.75">
      <c r="A91" s="486"/>
      <c r="B91" s="497"/>
      <c r="C91" s="49">
        <v>20</v>
      </c>
      <c r="D91" s="49">
        <f>+C91*0.7</f>
        <v>14</v>
      </c>
      <c r="E91" s="49">
        <f>+C91</f>
        <v>20</v>
      </c>
      <c r="F91" s="46">
        <v>0.75</v>
      </c>
      <c r="G91" s="499"/>
      <c r="H91" s="490"/>
      <c r="I91" s="478"/>
      <c r="J91" s="482"/>
      <c r="K91" s="491"/>
      <c r="L91" s="501"/>
    </row>
    <row r="92" spans="1:12" ht="18.75">
      <c r="A92" s="24" t="s">
        <v>30</v>
      </c>
      <c r="B92" s="308" t="s">
        <v>162</v>
      </c>
      <c r="C92" s="24"/>
      <c r="D92" s="49"/>
      <c r="E92" s="49"/>
      <c r="F92" s="43" t="s">
        <v>79</v>
      </c>
      <c r="G92" s="325"/>
      <c r="H92" s="299">
        <f>H93+H98+H108+H113</f>
        <v>11.75</v>
      </c>
      <c r="I92" s="24"/>
      <c r="J92" s="158"/>
      <c r="K92" s="70"/>
      <c r="L92" s="72"/>
    </row>
    <row r="93" spans="1:12" s="8" customFormat="1" ht="31.5">
      <c r="A93" s="24" t="s">
        <v>12</v>
      </c>
      <c r="B93" s="308" t="s">
        <v>163</v>
      </c>
      <c r="C93" s="24"/>
      <c r="D93" s="49"/>
      <c r="E93" s="49"/>
      <c r="F93" s="43" t="s">
        <v>70</v>
      </c>
      <c r="G93" s="325"/>
      <c r="H93" s="299">
        <f>SUM(H94:H97)</f>
        <v>3</v>
      </c>
      <c r="I93" s="24"/>
      <c r="J93" s="158"/>
      <c r="K93" s="70"/>
      <c r="L93" s="72"/>
    </row>
    <row r="94" spans="1:12" s="8" customFormat="1" ht="18.75">
      <c r="A94" s="485" t="s">
        <v>80</v>
      </c>
      <c r="B94" s="496" t="s">
        <v>110</v>
      </c>
      <c r="C94" s="49" t="s">
        <v>164</v>
      </c>
      <c r="D94" s="49" t="str">
        <f>+C94</f>
        <v>≥3</v>
      </c>
      <c r="E94" s="49">
        <v>3</v>
      </c>
      <c r="F94" s="47">
        <v>2</v>
      </c>
      <c r="G94" s="499">
        <f>'Biểu 11 Giao thông'!K47</f>
        <v>11.986508112623842</v>
      </c>
      <c r="H94" s="490">
        <f>ROUND(IF(G94&gt;E94,F94,(IF(G94&lt;D95,0,(IF(G94&lt;E95,F95,FORECAST(G94,F94:F95,E94:E95)))))),2)</f>
        <v>2</v>
      </c>
      <c r="I94" s="478" t="str">
        <f>+IF(H94=F94,"Tối đa",IF(H94&gt;F95,"Trung bình",IF(H94=F95,"Tối thiểu","Không đạt")))</f>
        <v>Tối đa</v>
      </c>
      <c r="J94" s="481"/>
      <c r="K94" s="491" t="str">
        <f>K76</f>
        <v>Biểu 11</v>
      </c>
      <c r="L94" s="492" t="str">
        <f>L76</f>
        <v>UBND XÃ ĐĂK RUỒNG</v>
      </c>
    </row>
    <row r="95" spans="1:12" s="8" customFormat="1" ht="18.75">
      <c r="A95" s="486"/>
      <c r="B95" s="497"/>
      <c r="C95" s="49">
        <v>2.5</v>
      </c>
      <c r="D95" s="49">
        <f>+C95*0.7</f>
        <v>1.75</v>
      </c>
      <c r="E95" s="49">
        <f>+C95</f>
        <v>2.5</v>
      </c>
      <c r="F95" s="46">
        <v>1.5</v>
      </c>
      <c r="G95" s="499"/>
      <c r="H95" s="490"/>
      <c r="I95" s="478"/>
      <c r="J95" s="482"/>
      <c r="K95" s="491"/>
      <c r="L95" s="492"/>
    </row>
    <row r="96" spans="1:12" s="8" customFormat="1" ht="18.75">
      <c r="A96" s="485" t="s">
        <v>81</v>
      </c>
      <c r="B96" s="496" t="s">
        <v>165</v>
      </c>
      <c r="C96" s="111" t="s">
        <v>166</v>
      </c>
      <c r="D96" s="49" t="str">
        <f>+C96</f>
        <v>≥20</v>
      </c>
      <c r="E96" s="49">
        <v>20</v>
      </c>
      <c r="F96" s="47">
        <v>1</v>
      </c>
      <c r="G96" s="506" t="s">
        <v>436</v>
      </c>
      <c r="H96" s="490">
        <v>1</v>
      </c>
      <c r="I96" s="478" t="str">
        <f>+IF(H96=F96,"Tối đa",IF(H96&gt;F97,"Trung bình",IF(H96=F97,"Tối thiểu","Không đạt")))</f>
        <v>Tối đa</v>
      </c>
      <c r="J96" s="481"/>
      <c r="K96" s="491" t="s">
        <v>366</v>
      </c>
      <c r="L96" s="492"/>
    </row>
    <row r="97" spans="1:12" s="8" customFormat="1" ht="18.75">
      <c r="A97" s="486"/>
      <c r="B97" s="497"/>
      <c r="C97" s="111">
        <v>10</v>
      </c>
      <c r="D97" s="49">
        <f>+C97*0.7</f>
        <v>7</v>
      </c>
      <c r="E97" s="49">
        <f>+C97</f>
        <v>10</v>
      </c>
      <c r="F97" s="46">
        <v>0.75</v>
      </c>
      <c r="G97" s="506"/>
      <c r="H97" s="490"/>
      <c r="I97" s="478"/>
      <c r="J97" s="482"/>
      <c r="K97" s="491"/>
      <c r="L97" s="492"/>
    </row>
    <row r="98" spans="1:12" ht="33" customHeight="1">
      <c r="A98" s="24" t="s">
        <v>20</v>
      </c>
      <c r="B98" s="308" t="s">
        <v>82</v>
      </c>
      <c r="C98" s="24"/>
      <c r="D98" s="306"/>
      <c r="E98" s="306"/>
      <c r="F98" s="43" t="s">
        <v>87</v>
      </c>
      <c r="G98" s="325"/>
      <c r="H98" s="299">
        <f>SUM(H99:H107)</f>
        <v>3.5</v>
      </c>
      <c r="I98" s="24"/>
      <c r="J98" s="158"/>
      <c r="K98" s="70"/>
      <c r="L98" s="72"/>
    </row>
    <row r="99" spans="1:12" ht="18.75">
      <c r="A99" s="485" t="s">
        <v>83</v>
      </c>
      <c r="B99" s="504" t="s">
        <v>167</v>
      </c>
      <c r="C99" s="7" t="s">
        <v>168</v>
      </c>
      <c r="D99" s="49" t="str">
        <f>+C99</f>
        <v>≥15</v>
      </c>
      <c r="E99" s="49">
        <v>15</v>
      </c>
      <c r="F99" s="47">
        <v>2</v>
      </c>
      <c r="G99" s="499" t="s">
        <v>438</v>
      </c>
      <c r="H99" s="490">
        <v>0</v>
      </c>
      <c r="I99" s="478" t="str">
        <f aca="true" t="shared" si="3" ref="I99:I105">+IF(H99=F99,"Tối đa",IF(H99&gt;F100,"Trung bình",IF(H99=F100,"Tối thiểu","Không đạt")))</f>
        <v>Không đạt</v>
      </c>
      <c r="J99" s="505"/>
      <c r="K99" s="70"/>
      <c r="L99" s="72"/>
    </row>
    <row r="100" spans="1:12" ht="18.75">
      <c r="A100" s="486"/>
      <c r="B100" s="504"/>
      <c r="C100" s="185">
        <v>10</v>
      </c>
      <c r="D100" s="49">
        <f>+C100*0.7</f>
        <v>7</v>
      </c>
      <c r="E100" s="49">
        <f aca="true" t="shared" si="4" ref="E100:E106">+C100</f>
        <v>10</v>
      </c>
      <c r="F100" s="46">
        <v>1.5</v>
      </c>
      <c r="G100" s="499"/>
      <c r="H100" s="490"/>
      <c r="I100" s="478"/>
      <c r="J100" s="505"/>
      <c r="K100" s="164"/>
      <c r="L100" s="165"/>
    </row>
    <row r="101" spans="1:12" ht="18.75">
      <c r="A101" s="485" t="s">
        <v>437</v>
      </c>
      <c r="B101" s="496" t="s">
        <v>169</v>
      </c>
      <c r="C101" s="49" t="s">
        <v>170</v>
      </c>
      <c r="D101" s="49" t="str">
        <f>+C101</f>
        <v>≥85</v>
      </c>
      <c r="E101" s="49">
        <v>85</v>
      </c>
      <c r="F101" s="47">
        <v>1</v>
      </c>
      <c r="G101" s="499">
        <f>'Biểu 18 Thu gom CTR'!E11</f>
        <v>100</v>
      </c>
      <c r="H101" s="490">
        <f>ROUND(IF(G101&gt;E101,F101,(IF(G101&lt;D102,0,(IF(G101&lt;E102,F102,FORECAST(G101,F101:F102,E101:E102)))))),2)</f>
        <v>1</v>
      </c>
      <c r="I101" s="478" t="str">
        <f t="shared" si="3"/>
        <v>Tối đa</v>
      </c>
      <c r="J101" s="481"/>
      <c r="K101" s="491" t="s">
        <v>371</v>
      </c>
      <c r="L101" s="501" t="str">
        <f>L81</f>
        <v>TRUNG TÂM MÔI TRƯỜNG VÀ DỊCH VỤ ĐÔ THỊ</v>
      </c>
    </row>
    <row r="102" spans="1:12" ht="18.75">
      <c r="A102" s="486"/>
      <c r="B102" s="497"/>
      <c r="C102" s="49">
        <v>70</v>
      </c>
      <c r="D102" s="49">
        <f>+C102*0.7</f>
        <v>49</v>
      </c>
      <c r="E102" s="49">
        <f t="shared" si="4"/>
        <v>70</v>
      </c>
      <c r="F102" s="46">
        <v>0.75</v>
      </c>
      <c r="G102" s="499"/>
      <c r="H102" s="490"/>
      <c r="I102" s="478"/>
      <c r="J102" s="482"/>
      <c r="K102" s="491"/>
      <c r="L102" s="501"/>
    </row>
    <row r="103" spans="1:12" ht="18.75">
      <c r="A103" s="485" t="s">
        <v>85</v>
      </c>
      <c r="B103" s="496" t="s">
        <v>84</v>
      </c>
      <c r="C103" s="49" t="s">
        <v>134</v>
      </c>
      <c r="D103" s="49" t="str">
        <f>+C103</f>
        <v>≥90</v>
      </c>
      <c r="E103" s="49">
        <v>90</v>
      </c>
      <c r="F103" s="47">
        <v>1</v>
      </c>
      <c r="G103" s="499">
        <f>'Biểu 18 Thu gom CTR'!E14</f>
        <v>93.5</v>
      </c>
      <c r="H103" s="490">
        <f>ROUND(IF(G103&gt;E103,F103,(IF(G103&lt;D104,0,(IF(G103&lt;E104,F104,FORECAST(G103,F103:F104,E103:E104)))))),2)</f>
        <v>1</v>
      </c>
      <c r="I103" s="478" t="str">
        <f t="shared" si="3"/>
        <v>Tối đa</v>
      </c>
      <c r="J103" s="481"/>
      <c r="K103" s="491"/>
      <c r="L103" s="501"/>
    </row>
    <row r="104" spans="1:12" ht="18.75">
      <c r="A104" s="486"/>
      <c r="B104" s="497"/>
      <c r="C104" s="49">
        <v>80</v>
      </c>
      <c r="D104" s="49">
        <f>+C104*0.7</f>
        <v>56</v>
      </c>
      <c r="E104" s="49">
        <f t="shared" si="4"/>
        <v>80</v>
      </c>
      <c r="F104" s="46">
        <v>0.75</v>
      </c>
      <c r="G104" s="499"/>
      <c r="H104" s="490"/>
      <c r="I104" s="478"/>
      <c r="J104" s="482"/>
      <c r="K104" s="491"/>
      <c r="L104" s="501"/>
    </row>
    <row r="105" spans="1:12" ht="18.75">
      <c r="A105" s="485" t="s">
        <v>86</v>
      </c>
      <c r="B105" s="496" t="s">
        <v>171</v>
      </c>
      <c r="C105" s="49" t="s">
        <v>172</v>
      </c>
      <c r="D105" s="49" t="str">
        <f>+C105</f>
        <v>≥65</v>
      </c>
      <c r="E105" s="49">
        <v>60</v>
      </c>
      <c r="F105" s="47">
        <v>1</v>
      </c>
      <c r="G105" s="499">
        <f>'Biểu 18 Thu gom CTR'!E15</f>
        <v>93.5</v>
      </c>
      <c r="H105" s="490">
        <f>ROUND(IF(G105&gt;E105,F105,(IF(G105&lt;D106,0,(IF(G105&lt;E106,F106,FORECAST(G105,F105:F106,E105:E106)))))),2)</f>
        <v>1</v>
      </c>
      <c r="I105" s="478" t="str">
        <f t="shared" si="3"/>
        <v>Tối đa</v>
      </c>
      <c r="J105" s="481"/>
      <c r="K105" s="491"/>
      <c r="L105" s="501"/>
    </row>
    <row r="106" spans="1:12" ht="18.75">
      <c r="A106" s="486"/>
      <c r="B106" s="497"/>
      <c r="C106" s="49">
        <v>60</v>
      </c>
      <c r="D106" s="49">
        <f>+C106*0.7</f>
        <v>42</v>
      </c>
      <c r="E106" s="49">
        <f t="shared" si="4"/>
        <v>60</v>
      </c>
      <c r="F106" s="46">
        <v>0.75</v>
      </c>
      <c r="G106" s="499"/>
      <c r="H106" s="490"/>
      <c r="I106" s="478"/>
      <c r="J106" s="482"/>
      <c r="K106" s="491"/>
      <c r="L106" s="501"/>
    </row>
    <row r="107" spans="1:12" s="179" customFormat="1" ht="31.5">
      <c r="A107" s="309" t="s">
        <v>453</v>
      </c>
      <c r="B107" s="310" t="s">
        <v>454</v>
      </c>
      <c r="C107" s="311"/>
      <c r="D107" s="311"/>
      <c r="E107" s="311"/>
      <c r="F107" s="312"/>
      <c r="G107" s="329"/>
      <c r="H107" s="330">
        <v>0.5</v>
      </c>
      <c r="I107" s="331" t="s">
        <v>455</v>
      </c>
      <c r="J107" s="156"/>
      <c r="K107" s="177"/>
      <c r="L107" s="178"/>
    </row>
    <row r="108" spans="1:12" ht="18.75">
      <c r="A108" s="24" t="s">
        <v>19</v>
      </c>
      <c r="B108" s="305" t="s">
        <v>173</v>
      </c>
      <c r="C108" s="24"/>
      <c r="D108" s="306"/>
      <c r="E108" s="306"/>
      <c r="F108" s="43" t="s">
        <v>78</v>
      </c>
      <c r="G108" s="325"/>
      <c r="H108" s="299">
        <f>SUM(H109:H112)</f>
        <v>1.25</v>
      </c>
      <c r="I108" s="24"/>
      <c r="J108" s="158"/>
      <c r="K108" s="70"/>
      <c r="L108" s="72"/>
    </row>
    <row r="109" spans="1:12" s="22" customFormat="1" ht="35.25" customHeight="1">
      <c r="A109" s="7" t="s">
        <v>88</v>
      </c>
      <c r="B109" s="37" t="s">
        <v>90</v>
      </c>
      <c r="C109" s="483" t="s">
        <v>451</v>
      </c>
      <c r="D109" s="484"/>
      <c r="E109" s="302"/>
      <c r="F109" s="42" t="s">
        <v>127</v>
      </c>
      <c r="G109" s="328" t="s">
        <v>196</v>
      </c>
      <c r="H109" s="324">
        <v>0.75</v>
      </c>
      <c r="I109" s="285" t="s">
        <v>439</v>
      </c>
      <c r="J109" s="159"/>
      <c r="K109" s="70"/>
      <c r="L109" s="72"/>
    </row>
    <row r="110" spans="1:12" ht="18.75">
      <c r="A110" s="485" t="s">
        <v>89</v>
      </c>
      <c r="B110" s="496" t="s">
        <v>91</v>
      </c>
      <c r="C110" s="111" t="s">
        <v>174</v>
      </c>
      <c r="D110" s="49" t="str">
        <f>+C110</f>
        <v>≥10</v>
      </c>
      <c r="E110" s="49">
        <v>10</v>
      </c>
      <c r="F110" s="47">
        <v>1</v>
      </c>
      <c r="G110" s="495">
        <v>0</v>
      </c>
      <c r="H110" s="490">
        <f>ROUND(IF(G110&gt;E110,F110,(IF(G110&lt;D111,0,(IF(G110&lt;E111,F111,FORECAST(G110,F110:F111,E110:E111)))))),2)</f>
        <v>0</v>
      </c>
      <c r="I110" s="478" t="str">
        <f>+IF(H110=F110,"Tối đa",IF(H110&gt;F111,"Trung bình",IF(H110=F111,"Tối thiểu","Không đạt")))</f>
        <v>Không đạt</v>
      </c>
      <c r="J110" s="481"/>
      <c r="K110" s="500"/>
      <c r="L110" s="501"/>
    </row>
    <row r="111" spans="1:12" ht="18.75">
      <c r="A111" s="486"/>
      <c r="B111" s="497"/>
      <c r="C111" s="111">
        <v>5</v>
      </c>
      <c r="D111" s="49">
        <f>+C111*0.7</f>
        <v>3.5</v>
      </c>
      <c r="E111" s="49">
        <f>+C111</f>
        <v>5</v>
      </c>
      <c r="F111" s="46">
        <v>0.75</v>
      </c>
      <c r="G111" s="489"/>
      <c r="H111" s="490"/>
      <c r="I111" s="478"/>
      <c r="J111" s="482"/>
      <c r="K111" s="500"/>
      <c r="L111" s="501"/>
    </row>
    <row r="112" spans="1:12" s="179" customFormat="1" ht="47.25">
      <c r="A112" s="314" t="s">
        <v>175</v>
      </c>
      <c r="B112" s="315" t="s">
        <v>176</v>
      </c>
      <c r="C112" s="316"/>
      <c r="D112" s="316"/>
      <c r="E112" s="316"/>
      <c r="F112" s="317"/>
      <c r="G112" s="332"/>
      <c r="H112" s="330">
        <v>0.5</v>
      </c>
      <c r="I112" s="331" t="s">
        <v>455</v>
      </c>
      <c r="J112" s="159"/>
      <c r="K112" s="184" t="s">
        <v>385</v>
      </c>
      <c r="L112" s="334" t="str">
        <f>L94</f>
        <v>UBND XÃ ĐĂK RUỒNG</v>
      </c>
    </row>
    <row r="113" spans="1:12" ht="18.75">
      <c r="A113" s="24" t="s">
        <v>18</v>
      </c>
      <c r="B113" s="305" t="s">
        <v>92</v>
      </c>
      <c r="C113" s="24"/>
      <c r="D113" s="49"/>
      <c r="E113" s="49"/>
      <c r="F113" s="43" t="s">
        <v>93</v>
      </c>
      <c r="G113" s="325"/>
      <c r="H113" s="299">
        <f>SUM(H114:H117)</f>
        <v>4</v>
      </c>
      <c r="I113" s="24"/>
      <c r="J113" s="158"/>
      <c r="K113" s="70"/>
      <c r="L113" s="72"/>
    </row>
    <row r="114" spans="1:12" s="23" customFormat="1" ht="18.75">
      <c r="A114" s="485" t="s">
        <v>94</v>
      </c>
      <c r="B114" s="502" t="s">
        <v>177</v>
      </c>
      <c r="C114" s="49" t="s">
        <v>178</v>
      </c>
      <c r="D114" s="49" t="str">
        <f>+C114</f>
        <v>≥8</v>
      </c>
      <c r="E114" s="49">
        <v>8</v>
      </c>
      <c r="F114" s="47">
        <v>2</v>
      </c>
      <c r="G114" s="499">
        <f>'Biểu 19 Nghĩa trang-Cây xanhĐT'!D21*10000/(G26*1000)</f>
        <v>28.01405975395431</v>
      </c>
      <c r="H114" s="490">
        <f>ROUND(IF(G114&gt;E114,F114,(IF(G114&lt;D115,0,(IF(G114&lt;E115,F115,FORECAST(G114,F114:F115,E114:E115)))))),2)</f>
        <v>2</v>
      </c>
      <c r="I114" s="478" t="str">
        <f>+IF(H114=F114,"Tối đa",IF(H114&gt;F115,"Trung bình",IF(H114=F115,"Tối thiểu","Không đạt")))</f>
        <v>Tối đa</v>
      </c>
      <c r="J114" s="481"/>
      <c r="K114" s="491" t="str">
        <f>+K112</f>
        <v>Biểu 19</v>
      </c>
      <c r="L114" s="492" t="str">
        <f>'THÔNG TIN CHUNG'!B11</f>
        <v>PHÒNG KINH TẾ - HẠ TẦNG</v>
      </c>
    </row>
    <row r="115" spans="1:12" s="23" customFormat="1" ht="18.75">
      <c r="A115" s="486"/>
      <c r="B115" s="503"/>
      <c r="C115" s="49">
        <v>6</v>
      </c>
      <c r="D115" s="49">
        <f>+C115*0.7</f>
        <v>4.199999999999999</v>
      </c>
      <c r="E115" s="49">
        <f>+C115</f>
        <v>6</v>
      </c>
      <c r="F115" s="46">
        <v>1.5</v>
      </c>
      <c r="G115" s="499"/>
      <c r="H115" s="490"/>
      <c r="I115" s="478"/>
      <c r="J115" s="482"/>
      <c r="K115" s="491"/>
      <c r="L115" s="492"/>
    </row>
    <row r="116" spans="1:12" s="4" customFormat="1" ht="18.75">
      <c r="A116" s="485" t="s">
        <v>95</v>
      </c>
      <c r="B116" s="496" t="s">
        <v>179</v>
      </c>
      <c r="C116" s="49" t="s">
        <v>180</v>
      </c>
      <c r="D116" s="49" t="str">
        <f>+C116</f>
        <v>≥4</v>
      </c>
      <c r="E116" s="49">
        <v>4</v>
      </c>
      <c r="F116" s="47">
        <v>2</v>
      </c>
      <c r="G116" s="499">
        <f>'Biểu 19 Nghĩa trang-Cây xanhĐT'!D14*10000/(G26*1000)</f>
        <v>5.623901581722321</v>
      </c>
      <c r="H116" s="490">
        <f>ROUND(IF(G116&gt;E116,F116,(IF(G116&lt;D117,0,(IF(G116&lt;E117,F117,FORECAST(G116,F116:F117,E116:E117)))))),2)</f>
        <v>2</v>
      </c>
      <c r="I116" s="478" t="str">
        <f>+IF(H116=F116,"Tối đa",IF(H116&gt;F117,"Trung bình",IF(H116=F117,"Tối thiểu","Không đạt")))</f>
        <v>Tối đa</v>
      </c>
      <c r="J116" s="481"/>
      <c r="K116" s="491"/>
      <c r="L116" s="492"/>
    </row>
    <row r="117" spans="1:12" s="4" customFormat="1" ht="18.75">
      <c r="A117" s="486"/>
      <c r="B117" s="497"/>
      <c r="C117" s="49">
        <v>3</v>
      </c>
      <c r="D117" s="49">
        <f>+C117*0.7</f>
        <v>2.0999999999999996</v>
      </c>
      <c r="E117" s="49">
        <f>+C117</f>
        <v>3</v>
      </c>
      <c r="F117" s="46">
        <v>1.5</v>
      </c>
      <c r="G117" s="499"/>
      <c r="H117" s="490"/>
      <c r="I117" s="478"/>
      <c r="J117" s="482"/>
      <c r="K117" s="491"/>
      <c r="L117" s="492"/>
    </row>
    <row r="118" spans="1:12" ht="18.75">
      <c r="A118" s="24" t="s">
        <v>33</v>
      </c>
      <c r="B118" s="308" t="s">
        <v>96</v>
      </c>
      <c r="C118" s="24"/>
      <c r="D118" s="306"/>
      <c r="E118" s="306"/>
      <c r="F118" s="43" t="s">
        <v>97</v>
      </c>
      <c r="G118" s="325"/>
      <c r="H118" s="299">
        <f>SUM(H119:H132)</f>
        <v>7</v>
      </c>
      <c r="I118" s="24"/>
      <c r="J118" s="158"/>
      <c r="K118" s="70"/>
      <c r="L118" s="165"/>
    </row>
    <row r="119" spans="1:12" ht="47.25">
      <c r="A119" s="485" t="s">
        <v>11</v>
      </c>
      <c r="B119" s="496" t="s">
        <v>373</v>
      </c>
      <c r="C119" s="318" t="s">
        <v>181</v>
      </c>
      <c r="D119" s="318" t="s">
        <v>182</v>
      </c>
      <c r="E119" s="318"/>
      <c r="F119" s="47">
        <v>2</v>
      </c>
      <c r="G119" s="489" t="s">
        <v>445</v>
      </c>
      <c r="H119" s="490">
        <v>0</v>
      </c>
      <c r="I119" s="478" t="str">
        <f>+IF(H119=F119,"Tối đa",IF(H119&gt;F120,"Trung bình",IF(H119=F120,"Tối thiểu","Không đạt")))</f>
        <v>Không đạt</v>
      </c>
      <c r="J119" s="481"/>
      <c r="K119" s="70"/>
      <c r="L119" s="166"/>
    </row>
    <row r="120" spans="1:12" ht="47.25">
      <c r="A120" s="486"/>
      <c r="B120" s="497"/>
      <c r="C120" s="295" t="s">
        <v>182</v>
      </c>
      <c r="D120" s="295" t="s">
        <v>183</v>
      </c>
      <c r="E120" s="295"/>
      <c r="F120" s="46">
        <v>1.5</v>
      </c>
      <c r="G120" s="489"/>
      <c r="H120" s="490"/>
      <c r="I120" s="478"/>
      <c r="J120" s="482"/>
      <c r="K120" s="70"/>
      <c r="L120" s="166"/>
    </row>
    <row r="121" spans="1:12" ht="18.75">
      <c r="A121" s="485" t="s">
        <v>17</v>
      </c>
      <c r="B121" s="496" t="s">
        <v>184</v>
      </c>
      <c r="C121" s="49" t="s">
        <v>139</v>
      </c>
      <c r="D121" s="49" t="str">
        <f>+C121</f>
        <v>≥30</v>
      </c>
      <c r="E121" s="49">
        <v>30</v>
      </c>
      <c r="F121" s="47">
        <v>2</v>
      </c>
      <c r="G121" s="498">
        <f>2/11*100</f>
        <v>18.181818181818183</v>
      </c>
      <c r="H121" s="490">
        <f>ROUND(IF(G121&gt;E121,F121,(IF(G121&lt;D122,0,(IF(G121&lt;E122,F122,FORECAST(G121,F121:F122,E121:E122)))))),2)</f>
        <v>1.5</v>
      </c>
      <c r="I121" s="478" t="str">
        <f aca="true" t="shared" si="5" ref="I121:I133">+IF(H121=F121,"Tối đa",IF(H121&gt;F122,"Trung bình",IF(H121=F122,"Tối thiểu","Không đạt")))</f>
        <v>Tối thiểu</v>
      </c>
      <c r="J121" s="481"/>
      <c r="K121" s="70"/>
      <c r="L121" s="166"/>
    </row>
    <row r="122" spans="1:12" ht="18.75">
      <c r="A122" s="486"/>
      <c r="B122" s="497"/>
      <c r="C122" s="301">
        <v>20</v>
      </c>
      <c r="D122" s="49">
        <f>+C122*0.7</f>
        <v>14</v>
      </c>
      <c r="E122" s="49">
        <f>+C122</f>
        <v>20</v>
      </c>
      <c r="F122" s="46">
        <v>1.5</v>
      </c>
      <c r="G122" s="498"/>
      <c r="H122" s="490"/>
      <c r="I122" s="478"/>
      <c r="J122" s="482"/>
      <c r="K122" s="70"/>
      <c r="L122" s="166"/>
    </row>
    <row r="123" spans="1:12" ht="33.75" customHeight="1">
      <c r="A123" s="485" t="s">
        <v>16</v>
      </c>
      <c r="B123" s="487" t="s">
        <v>185</v>
      </c>
      <c r="C123" s="111" t="s">
        <v>140</v>
      </c>
      <c r="D123" s="49" t="str">
        <f>+C123</f>
        <v>≥2</v>
      </c>
      <c r="E123" s="49">
        <v>2</v>
      </c>
      <c r="F123" s="47">
        <v>2</v>
      </c>
      <c r="G123" s="489" t="s">
        <v>39</v>
      </c>
      <c r="H123" s="490">
        <v>2</v>
      </c>
      <c r="I123" s="478" t="str">
        <f t="shared" si="5"/>
        <v>Tối đa</v>
      </c>
      <c r="J123" s="481"/>
      <c r="K123" s="70"/>
      <c r="L123" s="166"/>
    </row>
    <row r="124" spans="1:12" ht="33.75" customHeight="1">
      <c r="A124" s="486"/>
      <c r="B124" s="488"/>
      <c r="C124" s="111">
        <v>1</v>
      </c>
      <c r="D124" s="49">
        <v>1</v>
      </c>
      <c r="E124" s="49">
        <f>+C124</f>
        <v>1</v>
      </c>
      <c r="F124" s="46">
        <v>1.5</v>
      </c>
      <c r="G124" s="489"/>
      <c r="H124" s="490"/>
      <c r="I124" s="478"/>
      <c r="J124" s="482"/>
      <c r="K124" s="70"/>
      <c r="L124" s="166"/>
    </row>
    <row r="125" spans="1:12" ht="18.75">
      <c r="A125" s="485" t="s">
        <v>98</v>
      </c>
      <c r="B125" s="487" t="s">
        <v>101</v>
      </c>
      <c r="C125" s="111" t="s">
        <v>140</v>
      </c>
      <c r="D125" s="49" t="str">
        <f>+C125</f>
        <v>≥2</v>
      </c>
      <c r="E125" s="49">
        <v>2</v>
      </c>
      <c r="F125" s="47">
        <v>2</v>
      </c>
      <c r="G125" s="495">
        <v>2</v>
      </c>
      <c r="H125" s="490">
        <f>ROUND(IF(G125&gt;E125,F125,(IF(G125&lt;D126,0,(IF(G125&lt;E126,F126,FORECAST(G125,F125:F126,E125:E126)))))),2)</f>
        <v>2</v>
      </c>
      <c r="I125" s="478" t="str">
        <f t="shared" si="5"/>
        <v>Tối đa</v>
      </c>
      <c r="J125" s="481"/>
      <c r="K125" s="491" t="s">
        <v>386</v>
      </c>
      <c r="L125" s="492" t="str">
        <f>L114</f>
        <v>PHÒNG KINH TẾ - HẠ TẦNG</v>
      </c>
    </row>
    <row r="126" spans="1:12" ht="18.75">
      <c r="A126" s="486"/>
      <c r="B126" s="488"/>
      <c r="C126" s="111">
        <v>1</v>
      </c>
      <c r="D126" s="111">
        <v>1</v>
      </c>
      <c r="E126" s="49">
        <f>+C126</f>
        <v>1</v>
      </c>
      <c r="F126" s="46">
        <v>1.5</v>
      </c>
      <c r="G126" s="489"/>
      <c r="H126" s="490"/>
      <c r="I126" s="478"/>
      <c r="J126" s="482"/>
      <c r="K126" s="491"/>
      <c r="L126" s="492"/>
    </row>
    <row r="127" spans="1:12" s="4" customFormat="1" ht="38.25" customHeight="1">
      <c r="A127" s="485" t="s">
        <v>99</v>
      </c>
      <c r="B127" s="487" t="s">
        <v>190</v>
      </c>
      <c r="C127" s="483" t="s">
        <v>186</v>
      </c>
      <c r="D127" s="493"/>
      <c r="E127" s="307" t="str">
        <f>+C127</f>
        <v>Có 01 công trình là di tích cấp quốc gia đặc biệt</v>
      </c>
      <c r="F127" s="47">
        <v>2</v>
      </c>
      <c r="G127" s="494" t="s">
        <v>32</v>
      </c>
      <c r="H127" s="490">
        <v>1.5</v>
      </c>
      <c r="I127" s="478" t="str">
        <f t="shared" si="5"/>
        <v>Tối thiểu</v>
      </c>
      <c r="J127" s="481"/>
      <c r="K127" s="491"/>
      <c r="L127" s="492"/>
    </row>
    <row r="128" spans="1:12" s="4" customFormat="1" ht="45.75" customHeight="1">
      <c r="A128" s="486"/>
      <c r="B128" s="488"/>
      <c r="C128" s="483" t="s">
        <v>187</v>
      </c>
      <c r="D128" s="484"/>
      <c r="E128" s="302" t="str">
        <f>+C128</f>
        <v>Có 01 công trình là di tích cấp quốc gia hoặc cấp tỉnh hoặc công trình kiến trúc loại I hoặc loại II được cơ quan có thẩm
quyền công nhận</v>
      </c>
      <c r="F128" s="46">
        <v>1.5</v>
      </c>
      <c r="G128" s="494"/>
      <c r="H128" s="490"/>
      <c r="I128" s="478"/>
      <c r="J128" s="482"/>
      <c r="K128" s="491"/>
      <c r="L128" s="492"/>
    </row>
    <row r="129" spans="1:12" s="4" customFormat="1" ht="39" customHeight="1">
      <c r="A129" s="485" t="s">
        <v>188</v>
      </c>
      <c r="B129" s="487" t="s">
        <v>189</v>
      </c>
      <c r="C129" s="483" t="s">
        <v>191</v>
      </c>
      <c r="D129" s="484"/>
      <c r="E129" s="302" t="str">
        <f>+C129</f>
        <v>Có 02 công trình xanh trở lên đã được cấp giấy chứng nhận</v>
      </c>
      <c r="F129" s="47">
        <v>1</v>
      </c>
      <c r="G129" s="489" t="s">
        <v>551</v>
      </c>
      <c r="H129" s="490">
        <v>0</v>
      </c>
      <c r="I129" s="478" t="str">
        <f t="shared" si="5"/>
        <v>Không đạt</v>
      </c>
      <c r="J129" s="481"/>
      <c r="K129" s="70"/>
      <c r="L129" s="166"/>
    </row>
    <row r="130" spans="1:12" s="4" customFormat="1" ht="39" customHeight="1">
      <c r="A130" s="486"/>
      <c r="B130" s="488"/>
      <c r="C130" s="483" t="s">
        <v>192</v>
      </c>
      <c r="D130" s="484"/>
      <c r="E130" s="302" t="str">
        <f>+C130</f>
        <v>Có 01 công trình xanh đã được cấp giấy chứng nhận</v>
      </c>
      <c r="F130" s="46">
        <v>0.75</v>
      </c>
      <c r="G130" s="489"/>
      <c r="H130" s="490"/>
      <c r="I130" s="478"/>
      <c r="J130" s="482"/>
      <c r="K130" s="70"/>
      <c r="L130" s="166"/>
    </row>
    <row r="131" spans="1:12" s="4" customFormat="1" ht="26.25" customHeight="1">
      <c r="A131" s="485" t="s">
        <v>194</v>
      </c>
      <c r="B131" s="487" t="s">
        <v>193</v>
      </c>
      <c r="C131" s="313" t="s">
        <v>140</v>
      </c>
      <c r="D131" s="49" t="str">
        <f>+C131</f>
        <v>≥2</v>
      </c>
      <c r="E131" s="49">
        <v>2</v>
      </c>
      <c r="F131" s="47">
        <v>1</v>
      </c>
      <c r="G131" s="489" t="s">
        <v>551</v>
      </c>
      <c r="H131" s="490">
        <v>0</v>
      </c>
      <c r="I131" s="478" t="str">
        <f t="shared" si="5"/>
        <v>Không đạt</v>
      </c>
      <c r="J131" s="481"/>
      <c r="K131" s="70"/>
      <c r="L131" s="166"/>
    </row>
    <row r="132" spans="1:12" s="4" customFormat="1" ht="26.25" customHeight="1">
      <c r="A132" s="486"/>
      <c r="B132" s="488"/>
      <c r="C132" s="313">
        <v>1</v>
      </c>
      <c r="D132" s="111">
        <v>1</v>
      </c>
      <c r="E132" s="111">
        <f>+C132</f>
        <v>1</v>
      </c>
      <c r="F132" s="46">
        <v>0.75</v>
      </c>
      <c r="G132" s="489"/>
      <c r="H132" s="490"/>
      <c r="I132" s="478"/>
      <c r="J132" s="482"/>
      <c r="K132" s="70"/>
      <c r="L132" s="166"/>
    </row>
    <row r="133" spans="1:12" s="4" customFormat="1" ht="18.75">
      <c r="A133" s="472" t="s">
        <v>113</v>
      </c>
      <c r="B133" s="474" t="s">
        <v>111</v>
      </c>
      <c r="C133" s="24"/>
      <c r="D133" s="24"/>
      <c r="E133" s="24"/>
      <c r="F133" s="319">
        <v>10</v>
      </c>
      <c r="G133" s="476" t="s">
        <v>443</v>
      </c>
      <c r="H133" s="477">
        <v>10</v>
      </c>
      <c r="I133" s="478" t="str">
        <f t="shared" si="5"/>
        <v>Tối đa</v>
      </c>
      <c r="J133" s="110"/>
      <c r="K133" s="70"/>
      <c r="L133" s="72"/>
    </row>
    <row r="134" spans="1:12" s="4" customFormat="1" ht="18.75">
      <c r="A134" s="473"/>
      <c r="B134" s="475"/>
      <c r="C134" s="24"/>
      <c r="D134" s="24"/>
      <c r="E134" s="24"/>
      <c r="F134" s="320">
        <f>8*0.75+1*2+1.5</f>
        <v>9.5</v>
      </c>
      <c r="G134" s="476"/>
      <c r="H134" s="477"/>
      <c r="I134" s="478"/>
      <c r="J134" s="110"/>
      <c r="K134" s="70"/>
      <c r="L134" s="72"/>
    </row>
    <row r="135" spans="1:12" ht="18.75">
      <c r="A135" s="321"/>
      <c r="B135" s="321" t="s">
        <v>31</v>
      </c>
      <c r="C135" s="479"/>
      <c r="D135" s="480"/>
      <c r="E135" s="297"/>
      <c r="F135" s="43" t="s">
        <v>100</v>
      </c>
      <c r="G135" s="322"/>
      <c r="H135" s="323" t="e">
        <f>H7+H25+H28+H33+H36+H133</f>
        <v>#REF!</v>
      </c>
      <c r="I135" s="321"/>
      <c r="J135" s="277"/>
      <c r="K135" s="70"/>
      <c r="L135" s="72"/>
    </row>
    <row r="136" spans="1:9" ht="18.75">
      <c r="A136" s="5"/>
      <c r="B136" s="5"/>
      <c r="C136" s="5"/>
      <c r="D136" s="5"/>
      <c r="E136" s="5"/>
      <c r="F136" s="138"/>
      <c r="G136" s="5"/>
      <c r="H136" s="5"/>
      <c r="I136" s="6"/>
    </row>
    <row r="137" spans="1:12" s="9" customFormat="1" ht="18.75" customHeight="1">
      <c r="A137" s="5"/>
      <c r="B137" s="467" t="s">
        <v>195</v>
      </c>
      <c r="C137" s="467"/>
      <c r="D137" s="467"/>
      <c r="E137" s="467"/>
      <c r="F137" s="467"/>
      <c r="G137" s="467"/>
      <c r="H137" s="467"/>
      <c r="I137" s="467"/>
      <c r="J137" s="281"/>
      <c r="K137" s="160"/>
      <c r="L137" s="161"/>
    </row>
    <row r="138" spans="1:9" ht="51.75" customHeight="1">
      <c r="A138" s="16"/>
      <c r="B138" s="467" t="s">
        <v>440</v>
      </c>
      <c r="C138" s="467"/>
      <c r="D138" s="467"/>
      <c r="E138" s="467"/>
      <c r="F138" s="467"/>
      <c r="G138" s="467"/>
      <c r="H138" s="467"/>
      <c r="I138" s="467"/>
    </row>
    <row r="139" spans="1:12" s="10" customFormat="1" ht="18.75">
      <c r="A139" s="17"/>
      <c r="B139" s="468"/>
      <c r="C139" s="469"/>
      <c r="D139" s="469"/>
      <c r="E139" s="469"/>
      <c r="F139" s="469"/>
      <c r="G139" s="469"/>
      <c r="H139" s="469"/>
      <c r="I139" s="469"/>
      <c r="J139" s="282"/>
      <c r="K139" s="160"/>
      <c r="L139" s="161"/>
    </row>
    <row r="140" spans="1:12" s="17" customFormat="1" ht="18.75">
      <c r="A140" s="18"/>
      <c r="B140" s="19"/>
      <c r="C140" s="470" t="s">
        <v>446</v>
      </c>
      <c r="D140" s="470"/>
      <c r="E140" s="470"/>
      <c r="F140" s="470"/>
      <c r="G140" s="470"/>
      <c r="H140" s="470"/>
      <c r="I140" s="470"/>
      <c r="J140" s="283"/>
      <c r="K140" s="160"/>
      <c r="L140" s="161"/>
    </row>
    <row r="141" spans="1:12" s="17" customFormat="1" ht="18.75">
      <c r="A141" s="18"/>
      <c r="B141" s="19"/>
      <c r="C141" s="470"/>
      <c r="D141" s="470"/>
      <c r="E141" s="470"/>
      <c r="F141" s="470"/>
      <c r="G141" s="470"/>
      <c r="H141" s="470"/>
      <c r="I141" s="470"/>
      <c r="J141" s="283"/>
      <c r="K141" s="160"/>
      <c r="L141" s="161"/>
    </row>
    <row r="142" spans="1:12" s="17" customFormat="1" ht="18.75">
      <c r="A142" s="18"/>
      <c r="B142" s="19"/>
      <c r="C142" s="333" t="s">
        <v>442</v>
      </c>
      <c r="D142" s="333" t="s">
        <v>439</v>
      </c>
      <c r="E142" s="333"/>
      <c r="F142" s="333" t="s">
        <v>566</v>
      </c>
      <c r="G142" s="333" t="s">
        <v>444</v>
      </c>
      <c r="H142" s="471" t="s">
        <v>447</v>
      </c>
      <c r="I142" s="471"/>
      <c r="J142" s="283"/>
      <c r="K142" s="160"/>
      <c r="L142" s="161"/>
    </row>
    <row r="143" spans="1:12" s="17" customFormat="1" ht="18.75">
      <c r="A143" s="18"/>
      <c r="B143" s="19"/>
      <c r="C143" s="333">
        <f>COUNTIF($I$8:$I$134,"không đạt")</f>
        <v>8</v>
      </c>
      <c r="D143" s="333">
        <f>COUNTIF($I$8:$I$134,"Tối thiểu")</f>
        <v>9</v>
      </c>
      <c r="E143" s="333"/>
      <c r="F143" s="333">
        <f>COUNTIF($I$8:$I$134,"Trung bình")</f>
        <v>6</v>
      </c>
      <c r="G143" s="333">
        <f>COUNTIF($I$8:$I$134,"Tối đa")</f>
        <v>29</v>
      </c>
      <c r="H143" s="471">
        <f>SUM(C143:G143)</f>
        <v>52</v>
      </c>
      <c r="I143" s="471"/>
      <c r="J143" s="283"/>
      <c r="K143" s="160"/>
      <c r="L143" s="161"/>
    </row>
    <row r="144" spans="2:12" s="18" customFormat="1" ht="18.75">
      <c r="B144" s="19"/>
      <c r="D144" s="20"/>
      <c r="E144" s="20"/>
      <c r="F144" s="139"/>
      <c r="G144" s="20"/>
      <c r="H144" s="21"/>
      <c r="I144" s="137"/>
      <c r="J144" s="283"/>
      <c r="K144" s="160"/>
      <c r="L144" s="161"/>
    </row>
    <row r="145" spans="2:12" s="18" customFormat="1" ht="18.75">
      <c r="B145" s="19"/>
      <c r="D145" s="20"/>
      <c r="E145" s="20"/>
      <c r="F145" s="139"/>
      <c r="G145" s="20"/>
      <c r="H145" s="21"/>
      <c r="I145" s="137"/>
      <c r="J145" s="283"/>
      <c r="K145" s="160"/>
      <c r="L145" s="161"/>
    </row>
    <row r="146" spans="2:12" s="18" customFormat="1" ht="18.75">
      <c r="B146" s="19"/>
      <c r="D146" s="20"/>
      <c r="E146" s="20"/>
      <c r="F146" s="139"/>
      <c r="G146" s="20"/>
      <c r="H146" s="21"/>
      <c r="I146" s="137"/>
      <c r="J146" s="283"/>
      <c r="K146" s="160"/>
      <c r="L146" s="161"/>
    </row>
    <row r="147" spans="2:12" s="18" customFormat="1" ht="18.75">
      <c r="B147" s="19"/>
      <c r="D147" s="20"/>
      <c r="E147" s="20"/>
      <c r="F147" s="139"/>
      <c r="G147" s="20"/>
      <c r="H147" s="21"/>
      <c r="I147" s="137"/>
      <c r="J147" s="283"/>
      <c r="K147" s="160"/>
      <c r="L147" s="161"/>
    </row>
    <row r="148" spans="2:12" s="18" customFormat="1" ht="18.75">
      <c r="B148" s="19"/>
      <c r="D148" s="20"/>
      <c r="E148" s="20"/>
      <c r="F148" s="139"/>
      <c r="G148" s="20"/>
      <c r="H148" s="21"/>
      <c r="I148" s="137"/>
      <c r="J148" s="283"/>
      <c r="K148" s="160"/>
      <c r="L148" s="161"/>
    </row>
    <row r="149" spans="1:12" s="18" customFormat="1" ht="18.75">
      <c r="A149"/>
      <c r="B149" s="3"/>
      <c r="C149"/>
      <c r="D149" s="1"/>
      <c r="E149" s="1"/>
      <c r="F149" s="139"/>
      <c r="G149" s="1"/>
      <c r="H149" s="2"/>
      <c r="I149" s="137"/>
      <c r="J149" s="283"/>
      <c r="K149" s="160"/>
      <c r="L149" s="161"/>
    </row>
    <row r="150" spans="1:12" s="18" customFormat="1" ht="18.75">
      <c r="A150"/>
      <c r="B150" s="3"/>
      <c r="C150"/>
      <c r="D150" s="1"/>
      <c r="E150" s="1"/>
      <c r="F150" s="139"/>
      <c r="G150" s="1"/>
      <c r="H150" s="2"/>
      <c r="I150" s="137"/>
      <c r="J150" s="283"/>
      <c r="K150" s="160"/>
      <c r="L150" s="161"/>
    </row>
    <row r="151" spans="1:12" s="18" customFormat="1" ht="18.75">
      <c r="A151"/>
      <c r="B151" s="3"/>
      <c r="C151"/>
      <c r="D151" s="1"/>
      <c r="E151" s="1"/>
      <c r="F151" s="139"/>
      <c r="G151" s="1"/>
      <c r="H151" s="2"/>
      <c r="I151" s="137"/>
      <c r="J151" s="283"/>
      <c r="K151" s="160"/>
      <c r="L151" s="161"/>
    </row>
    <row r="152" spans="1:12" s="18" customFormat="1" ht="18.75">
      <c r="A152"/>
      <c r="B152" s="3"/>
      <c r="C152"/>
      <c r="D152" s="1"/>
      <c r="E152" s="1"/>
      <c r="F152" s="139"/>
      <c r="G152" s="1"/>
      <c r="H152" s="2"/>
      <c r="I152" s="137"/>
      <c r="J152" s="283"/>
      <c r="K152" s="160"/>
      <c r="L152" s="161"/>
    </row>
    <row r="153" spans="1:12" s="18" customFormat="1" ht="18.75">
      <c r="A153"/>
      <c r="B153" s="3"/>
      <c r="C153"/>
      <c r="D153" s="1"/>
      <c r="E153" s="1"/>
      <c r="F153" s="139"/>
      <c r="G153" s="1"/>
      <c r="H153" s="2"/>
      <c r="I153" s="137"/>
      <c r="J153" s="283"/>
      <c r="K153" s="160"/>
      <c r="L153" s="161"/>
    </row>
    <row r="154" spans="1:12" s="18" customFormat="1" ht="18.75">
      <c r="A154"/>
      <c r="B154" s="3"/>
      <c r="C154"/>
      <c r="D154" s="1"/>
      <c r="E154" s="1"/>
      <c r="F154" s="139"/>
      <c r="G154" s="1"/>
      <c r="H154" s="2"/>
      <c r="I154" s="137"/>
      <c r="J154" s="283"/>
      <c r="K154" s="160"/>
      <c r="L154" s="161"/>
    </row>
    <row r="155" spans="1:12" s="18" customFormat="1" ht="18.75">
      <c r="A155"/>
      <c r="B155" s="3"/>
      <c r="C155"/>
      <c r="D155" s="1"/>
      <c r="E155" s="1"/>
      <c r="F155" s="139"/>
      <c r="G155" s="1"/>
      <c r="H155" s="2"/>
      <c r="I155" s="137"/>
      <c r="J155" s="283"/>
      <c r="K155" s="160"/>
      <c r="L155" s="161"/>
    </row>
    <row r="156" spans="1:12" s="18" customFormat="1" ht="18.75">
      <c r="A156"/>
      <c r="B156" s="3"/>
      <c r="C156"/>
      <c r="D156" s="1"/>
      <c r="E156" s="1"/>
      <c r="F156" s="139"/>
      <c r="G156" s="1"/>
      <c r="H156" s="2"/>
      <c r="I156" s="137"/>
      <c r="J156" s="283"/>
      <c r="K156" s="160"/>
      <c r="L156" s="161"/>
    </row>
    <row r="157" spans="1:12" s="18" customFormat="1" ht="18.75">
      <c r="A157"/>
      <c r="B157" s="3"/>
      <c r="C157"/>
      <c r="D157" s="1"/>
      <c r="E157" s="1"/>
      <c r="F157" s="139"/>
      <c r="G157" s="1"/>
      <c r="H157" s="2"/>
      <c r="I157" s="137"/>
      <c r="J157" s="283"/>
      <c r="K157" s="160"/>
      <c r="L157" s="161"/>
    </row>
    <row r="158" spans="1:12" s="18" customFormat="1" ht="18.75">
      <c r="A158"/>
      <c r="B158" s="3"/>
      <c r="C158"/>
      <c r="D158" s="1"/>
      <c r="E158" s="1"/>
      <c r="F158" s="139"/>
      <c r="G158" s="1"/>
      <c r="H158" s="2"/>
      <c r="I158" s="137"/>
      <c r="J158" s="283"/>
      <c r="K158" s="160"/>
      <c r="L158" s="161"/>
    </row>
    <row r="159" spans="1:12" s="18" customFormat="1" ht="18.75">
      <c r="A159"/>
      <c r="B159" s="3"/>
      <c r="C159"/>
      <c r="D159" s="1"/>
      <c r="E159" s="1"/>
      <c r="F159" s="139"/>
      <c r="G159" s="1"/>
      <c r="H159" s="2"/>
      <c r="I159" s="137"/>
      <c r="J159" s="283"/>
      <c r="K159" s="160"/>
      <c r="L159" s="161"/>
    </row>
    <row r="160" spans="1:12" s="18" customFormat="1" ht="18.75">
      <c r="A160"/>
      <c r="B160" s="3"/>
      <c r="C160"/>
      <c r="D160" s="1"/>
      <c r="E160" s="1"/>
      <c r="F160" s="139"/>
      <c r="G160" s="1"/>
      <c r="H160" s="2"/>
      <c r="I160" s="137"/>
      <c r="J160" s="283"/>
      <c r="K160" s="160"/>
      <c r="L160" s="161"/>
    </row>
    <row r="161" spans="1:12" s="18" customFormat="1" ht="18.75">
      <c r="A161"/>
      <c r="B161" s="3"/>
      <c r="C161"/>
      <c r="D161" s="1"/>
      <c r="E161" s="1"/>
      <c r="F161" s="139"/>
      <c r="G161" s="1"/>
      <c r="H161" s="2"/>
      <c r="I161" s="137"/>
      <c r="J161" s="283"/>
      <c r="K161" s="160"/>
      <c r="L161" s="161"/>
    </row>
  </sheetData>
  <sheetProtection/>
  <mergeCells count="391">
    <mergeCell ref="A1:I1"/>
    <mergeCell ref="A2:I2"/>
    <mergeCell ref="K2:L10"/>
    <mergeCell ref="A3:I3"/>
    <mergeCell ref="A4:I4"/>
    <mergeCell ref="A5:A6"/>
    <mergeCell ref="B5:B6"/>
    <mergeCell ref="C5:F5"/>
    <mergeCell ref="G5:I5"/>
    <mergeCell ref="A8:A9"/>
    <mergeCell ref="B8:B9"/>
    <mergeCell ref="C8:D8"/>
    <mergeCell ref="G8:G9"/>
    <mergeCell ref="H8:H9"/>
    <mergeCell ref="I8:I9"/>
    <mergeCell ref="C9:D9"/>
    <mergeCell ref="C10:D10"/>
    <mergeCell ref="A11:A12"/>
    <mergeCell ref="B11:B12"/>
    <mergeCell ref="C11:D11"/>
    <mergeCell ref="G11:G12"/>
    <mergeCell ref="H11:H12"/>
    <mergeCell ref="I11:I12"/>
    <mergeCell ref="J11:J12"/>
    <mergeCell ref="K11:K12"/>
    <mergeCell ref="L11:L12"/>
    <mergeCell ref="C12:D12"/>
    <mergeCell ref="A13:A14"/>
    <mergeCell ref="B13:B14"/>
    <mergeCell ref="G13:G14"/>
    <mergeCell ref="H13:H14"/>
    <mergeCell ref="I13:I14"/>
    <mergeCell ref="J13:J14"/>
    <mergeCell ref="K13:K18"/>
    <mergeCell ref="L13:L18"/>
    <mergeCell ref="A15:A16"/>
    <mergeCell ref="B15:B16"/>
    <mergeCell ref="C15:D15"/>
    <mergeCell ref="G15:G16"/>
    <mergeCell ref="H15:H16"/>
    <mergeCell ref="I15:I16"/>
    <mergeCell ref="J15:J16"/>
    <mergeCell ref="C16:D16"/>
    <mergeCell ref="A17:A18"/>
    <mergeCell ref="B17:B18"/>
    <mergeCell ref="G17:G18"/>
    <mergeCell ref="H17:H18"/>
    <mergeCell ref="I17:I18"/>
    <mergeCell ref="J17:J18"/>
    <mergeCell ref="A19:A20"/>
    <mergeCell ref="B19:B20"/>
    <mergeCell ref="G19:G20"/>
    <mergeCell ref="H19:H20"/>
    <mergeCell ref="I19:I20"/>
    <mergeCell ref="A21:A22"/>
    <mergeCell ref="B21:B22"/>
    <mergeCell ref="G21:G22"/>
    <mergeCell ref="H21:H22"/>
    <mergeCell ref="I21:I22"/>
    <mergeCell ref="J21:J22"/>
    <mergeCell ref="K21:K22"/>
    <mergeCell ref="L21:L22"/>
    <mergeCell ref="A23:A24"/>
    <mergeCell ref="B23:B24"/>
    <mergeCell ref="G23:G24"/>
    <mergeCell ref="H23:H24"/>
    <mergeCell ref="I23:I24"/>
    <mergeCell ref="J23:J24"/>
    <mergeCell ref="K23:K24"/>
    <mergeCell ref="L23:L24"/>
    <mergeCell ref="A26:A27"/>
    <mergeCell ref="B26:B27"/>
    <mergeCell ref="G26:G27"/>
    <mergeCell ref="H26:H27"/>
    <mergeCell ref="I26:I27"/>
    <mergeCell ref="J26:J27"/>
    <mergeCell ref="A29:A30"/>
    <mergeCell ref="B29:B30"/>
    <mergeCell ref="G29:G30"/>
    <mergeCell ref="H29:H30"/>
    <mergeCell ref="I29:I30"/>
    <mergeCell ref="J29:J30"/>
    <mergeCell ref="K29:K30"/>
    <mergeCell ref="L29:L30"/>
    <mergeCell ref="A31:A32"/>
    <mergeCell ref="B31:B32"/>
    <mergeCell ref="G31:G32"/>
    <mergeCell ref="H31:H32"/>
    <mergeCell ref="I31:I32"/>
    <mergeCell ref="J31:J32"/>
    <mergeCell ref="K31:K32"/>
    <mergeCell ref="L31:L32"/>
    <mergeCell ref="A34:A35"/>
    <mergeCell ref="B34:B35"/>
    <mergeCell ref="G34:G35"/>
    <mergeCell ref="H34:H35"/>
    <mergeCell ref="I34:I35"/>
    <mergeCell ref="J34:J35"/>
    <mergeCell ref="K34:K35"/>
    <mergeCell ref="L34:L35"/>
    <mergeCell ref="A40:A41"/>
    <mergeCell ref="B40:B41"/>
    <mergeCell ref="G40:G41"/>
    <mergeCell ref="H40:H41"/>
    <mergeCell ref="I40:I41"/>
    <mergeCell ref="J40:J41"/>
    <mergeCell ref="K40:K43"/>
    <mergeCell ref="L40:L41"/>
    <mergeCell ref="A42:A43"/>
    <mergeCell ref="B42:B43"/>
    <mergeCell ref="G42:G43"/>
    <mergeCell ref="H42:H43"/>
    <mergeCell ref="I42:I43"/>
    <mergeCell ref="J42:J43"/>
    <mergeCell ref="L42:L43"/>
    <mergeCell ref="A45:A46"/>
    <mergeCell ref="B45:B46"/>
    <mergeCell ref="G45:G46"/>
    <mergeCell ref="H45:H46"/>
    <mergeCell ref="I45:I46"/>
    <mergeCell ref="J45:J46"/>
    <mergeCell ref="K45:K50"/>
    <mergeCell ref="L45:L50"/>
    <mergeCell ref="A47:A48"/>
    <mergeCell ref="B47:B48"/>
    <mergeCell ref="G47:G48"/>
    <mergeCell ref="H47:H48"/>
    <mergeCell ref="I47:I48"/>
    <mergeCell ref="J47:J48"/>
    <mergeCell ref="A49:A50"/>
    <mergeCell ref="B49:B50"/>
    <mergeCell ref="G49:G50"/>
    <mergeCell ref="H49:H50"/>
    <mergeCell ref="I49:I50"/>
    <mergeCell ref="J49:J50"/>
    <mergeCell ref="A51:A52"/>
    <mergeCell ref="B51:B52"/>
    <mergeCell ref="G51:G52"/>
    <mergeCell ref="H51:H52"/>
    <mergeCell ref="I51:I52"/>
    <mergeCell ref="J51:J52"/>
    <mergeCell ref="A53:A54"/>
    <mergeCell ref="B53:B54"/>
    <mergeCell ref="G53:G54"/>
    <mergeCell ref="H53:H54"/>
    <mergeCell ref="I53:I54"/>
    <mergeCell ref="J53:J54"/>
    <mergeCell ref="K51:K52"/>
    <mergeCell ref="L51:L52"/>
    <mergeCell ref="K53:K54"/>
    <mergeCell ref="L53:L54"/>
    <mergeCell ref="K55:K58"/>
    <mergeCell ref="L55:L58"/>
    <mergeCell ref="I57:I58"/>
    <mergeCell ref="J57:J58"/>
    <mergeCell ref="G55:G56"/>
    <mergeCell ref="H55:H56"/>
    <mergeCell ref="I55:I56"/>
    <mergeCell ref="J55:J56"/>
    <mergeCell ref="A55:A56"/>
    <mergeCell ref="B55:B56"/>
    <mergeCell ref="A59:A60"/>
    <mergeCell ref="B59:B60"/>
    <mergeCell ref="G59:G60"/>
    <mergeCell ref="H59:H60"/>
    <mergeCell ref="A57:A58"/>
    <mergeCell ref="B57:B58"/>
    <mergeCell ref="G57:G58"/>
    <mergeCell ref="H57:H58"/>
    <mergeCell ref="I59:I60"/>
    <mergeCell ref="J59:J60"/>
    <mergeCell ref="K59:K60"/>
    <mergeCell ref="L59:L60"/>
    <mergeCell ref="A63:A64"/>
    <mergeCell ref="B63:B64"/>
    <mergeCell ref="C63:D63"/>
    <mergeCell ref="G63:G64"/>
    <mergeCell ref="H63:H64"/>
    <mergeCell ref="I63:I64"/>
    <mergeCell ref="J63:J64"/>
    <mergeCell ref="K63:K70"/>
    <mergeCell ref="L63:L70"/>
    <mergeCell ref="C64:D64"/>
    <mergeCell ref="A65:A66"/>
    <mergeCell ref="B65:B66"/>
    <mergeCell ref="G65:G66"/>
    <mergeCell ref="H65:H66"/>
    <mergeCell ref="I65:I66"/>
    <mergeCell ref="J65:J66"/>
    <mergeCell ref="A67:A68"/>
    <mergeCell ref="B67:B68"/>
    <mergeCell ref="G67:G68"/>
    <mergeCell ref="H67:H68"/>
    <mergeCell ref="I67:I68"/>
    <mergeCell ref="J67:J68"/>
    <mergeCell ref="A69:A70"/>
    <mergeCell ref="B69:B70"/>
    <mergeCell ref="G69:G70"/>
    <mergeCell ref="H69:H70"/>
    <mergeCell ref="I69:I70"/>
    <mergeCell ref="J69:J70"/>
    <mergeCell ref="A71:A72"/>
    <mergeCell ref="B71:B72"/>
    <mergeCell ref="G71:G72"/>
    <mergeCell ref="H71:H72"/>
    <mergeCell ref="I71:I72"/>
    <mergeCell ref="J71:J72"/>
    <mergeCell ref="A74:A75"/>
    <mergeCell ref="B74:B75"/>
    <mergeCell ref="G74:G75"/>
    <mergeCell ref="H74:H75"/>
    <mergeCell ref="I74:I75"/>
    <mergeCell ref="J74:J75"/>
    <mergeCell ref="K71:K72"/>
    <mergeCell ref="L71:L72"/>
    <mergeCell ref="K74:K75"/>
    <mergeCell ref="L74:L75"/>
    <mergeCell ref="K76:K79"/>
    <mergeCell ref="L76:L79"/>
    <mergeCell ref="I78:I79"/>
    <mergeCell ref="J78:J79"/>
    <mergeCell ref="G76:G77"/>
    <mergeCell ref="H76:H77"/>
    <mergeCell ref="I76:I77"/>
    <mergeCell ref="J76:J77"/>
    <mergeCell ref="A76:A77"/>
    <mergeCell ref="B76:B77"/>
    <mergeCell ref="A81:A82"/>
    <mergeCell ref="B81:B82"/>
    <mergeCell ref="G81:G82"/>
    <mergeCell ref="H81:H82"/>
    <mergeCell ref="A78:A79"/>
    <mergeCell ref="B78:B79"/>
    <mergeCell ref="G78:G79"/>
    <mergeCell ref="H78:H79"/>
    <mergeCell ref="A83:A84"/>
    <mergeCell ref="B83:B84"/>
    <mergeCell ref="G83:G84"/>
    <mergeCell ref="H83:H84"/>
    <mergeCell ref="I83:I84"/>
    <mergeCell ref="J83:J84"/>
    <mergeCell ref="G86:G87"/>
    <mergeCell ref="H86:H87"/>
    <mergeCell ref="I86:I87"/>
    <mergeCell ref="J86:J87"/>
    <mergeCell ref="K81:K84"/>
    <mergeCell ref="L81:L84"/>
    <mergeCell ref="K86:K89"/>
    <mergeCell ref="L86:L89"/>
    <mergeCell ref="I81:I82"/>
    <mergeCell ref="J81:J82"/>
    <mergeCell ref="A88:A89"/>
    <mergeCell ref="B88:B89"/>
    <mergeCell ref="G88:G89"/>
    <mergeCell ref="H88:H89"/>
    <mergeCell ref="I88:I89"/>
    <mergeCell ref="J88:J89"/>
    <mergeCell ref="A86:A87"/>
    <mergeCell ref="B86:B87"/>
    <mergeCell ref="J94:J95"/>
    <mergeCell ref="K94:K95"/>
    <mergeCell ref="L94:L97"/>
    <mergeCell ref="A90:A91"/>
    <mergeCell ref="B90:B91"/>
    <mergeCell ref="G90:G91"/>
    <mergeCell ref="H90:H91"/>
    <mergeCell ref="I90:I91"/>
    <mergeCell ref="J90:J91"/>
    <mergeCell ref="H96:H97"/>
    <mergeCell ref="I96:I97"/>
    <mergeCell ref="J96:J97"/>
    <mergeCell ref="K90:K91"/>
    <mergeCell ref="L90:L91"/>
    <mergeCell ref="A94:A95"/>
    <mergeCell ref="B94:B95"/>
    <mergeCell ref="G94:G95"/>
    <mergeCell ref="H94:H95"/>
    <mergeCell ref="I94:I95"/>
    <mergeCell ref="K96:K97"/>
    <mergeCell ref="A96:A97"/>
    <mergeCell ref="B96:B97"/>
    <mergeCell ref="G96:G97"/>
    <mergeCell ref="A99:A100"/>
    <mergeCell ref="B99:B100"/>
    <mergeCell ref="G99:G100"/>
    <mergeCell ref="H99:H100"/>
    <mergeCell ref="I99:I100"/>
    <mergeCell ref="J99:J100"/>
    <mergeCell ref="A101:A102"/>
    <mergeCell ref="B101:B102"/>
    <mergeCell ref="G101:G102"/>
    <mergeCell ref="H101:H102"/>
    <mergeCell ref="I101:I102"/>
    <mergeCell ref="J101:J102"/>
    <mergeCell ref="K101:K106"/>
    <mergeCell ref="L101:L106"/>
    <mergeCell ref="A103:A104"/>
    <mergeCell ref="B103:B104"/>
    <mergeCell ref="G103:G104"/>
    <mergeCell ref="H103:H104"/>
    <mergeCell ref="I103:I104"/>
    <mergeCell ref="J103:J104"/>
    <mergeCell ref="A105:A106"/>
    <mergeCell ref="B105:B106"/>
    <mergeCell ref="G105:G106"/>
    <mergeCell ref="H105:H106"/>
    <mergeCell ref="I105:I106"/>
    <mergeCell ref="J105:J106"/>
    <mergeCell ref="C109:D109"/>
    <mergeCell ref="A110:A111"/>
    <mergeCell ref="B110:B111"/>
    <mergeCell ref="G110:G111"/>
    <mergeCell ref="H110:H111"/>
    <mergeCell ref="I110:I111"/>
    <mergeCell ref="J110:J111"/>
    <mergeCell ref="K110:K111"/>
    <mergeCell ref="L110:L111"/>
    <mergeCell ref="A114:A115"/>
    <mergeCell ref="B114:B115"/>
    <mergeCell ref="G114:G115"/>
    <mergeCell ref="H114:H115"/>
    <mergeCell ref="I114:I115"/>
    <mergeCell ref="J114:J115"/>
    <mergeCell ref="K114:K117"/>
    <mergeCell ref="L114:L117"/>
    <mergeCell ref="A116:A117"/>
    <mergeCell ref="B116:B117"/>
    <mergeCell ref="G116:G117"/>
    <mergeCell ref="H116:H117"/>
    <mergeCell ref="I116:I117"/>
    <mergeCell ref="J116:J117"/>
    <mergeCell ref="A119:A120"/>
    <mergeCell ref="B119:B120"/>
    <mergeCell ref="G119:G120"/>
    <mergeCell ref="H119:H120"/>
    <mergeCell ref="I119:I120"/>
    <mergeCell ref="J119:J120"/>
    <mergeCell ref="A121:A122"/>
    <mergeCell ref="B121:B122"/>
    <mergeCell ref="G121:G122"/>
    <mergeCell ref="H121:H122"/>
    <mergeCell ref="I121:I122"/>
    <mergeCell ref="J121:J122"/>
    <mergeCell ref="J125:J126"/>
    <mergeCell ref="A123:A124"/>
    <mergeCell ref="B123:B124"/>
    <mergeCell ref="G123:G124"/>
    <mergeCell ref="H123:H124"/>
    <mergeCell ref="I123:I124"/>
    <mergeCell ref="J123:J124"/>
    <mergeCell ref="I127:I128"/>
    <mergeCell ref="C128:D128"/>
    <mergeCell ref="A125:A126"/>
    <mergeCell ref="B125:B126"/>
    <mergeCell ref="G125:G126"/>
    <mergeCell ref="H125:H126"/>
    <mergeCell ref="I125:I126"/>
    <mergeCell ref="K125:K128"/>
    <mergeCell ref="L125:L128"/>
    <mergeCell ref="J127:J128"/>
    <mergeCell ref="J129:J130"/>
    <mergeCell ref="C130:D130"/>
    <mergeCell ref="A127:A128"/>
    <mergeCell ref="B127:B128"/>
    <mergeCell ref="C127:D127"/>
    <mergeCell ref="G127:G128"/>
    <mergeCell ref="H127:H128"/>
    <mergeCell ref="I131:I132"/>
    <mergeCell ref="J131:J132"/>
    <mergeCell ref="C129:D129"/>
    <mergeCell ref="G129:G130"/>
    <mergeCell ref="H129:H130"/>
    <mergeCell ref="I129:I130"/>
    <mergeCell ref="A129:A130"/>
    <mergeCell ref="B129:B130"/>
    <mergeCell ref="A133:A134"/>
    <mergeCell ref="B133:B134"/>
    <mergeCell ref="G133:G134"/>
    <mergeCell ref="H133:H134"/>
    <mergeCell ref="A131:A132"/>
    <mergeCell ref="B131:B132"/>
    <mergeCell ref="G131:G132"/>
    <mergeCell ref="H131:H132"/>
    <mergeCell ref="H142:I142"/>
    <mergeCell ref="H143:I143"/>
    <mergeCell ref="I133:I134"/>
    <mergeCell ref="C135:D135"/>
    <mergeCell ref="B137:I137"/>
    <mergeCell ref="B138:I138"/>
    <mergeCell ref="B139:I139"/>
    <mergeCell ref="C140:I141"/>
  </mergeCells>
  <hyperlinks>
    <hyperlink ref="K11:K12" location="'Biểu 1 Thu chi ngân sách'!A1" display="Biểu 1"/>
    <hyperlink ref="K13:K18" location="'Biểu 2 Chi tiêu KTXH'!A1" display="Biểu 2"/>
    <hyperlink ref="K21:K22" location="'Biểu 3 Hộ nghèo'!A1" display="Biểu 3"/>
    <hyperlink ref="K23:K24" location="'Biểu 2 Chi tiêu KTXH'!A1" display="'Biểu 2 Chi tiêu KTXH'!A1"/>
    <hyperlink ref="K26" location="'Biểu 2 Chi tiêu KTXH'!A1" display="Biểu 2"/>
    <hyperlink ref="K27" location="'Biểu 4 Dân số tạm trú'!A1" display="Biểu 4"/>
    <hyperlink ref="K40:K43" location="'Biểu 5 Nhà ở'!A1" display="Biểu 5"/>
    <hyperlink ref="K45:K50" location="'Biểu 6 Cơ cấu SDD'!A1" display="Biểu 6"/>
    <hyperlink ref="K51:K52" location="'Biểu 7 Cơ sở y tế'!A1" display="Biểu 7"/>
    <hyperlink ref="K53:K54" location="'Biểu 8 Cơ sở giáo dục'!A1" display="Biểu 8"/>
    <hyperlink ref="K55:K58" location="'Biểu 9 Ctrinh văn hóa'!A1" display="Biểu 9"/>
    <hyperlink ref="K59:K60" location="'Biểu 10 Ctrinh TMDV'!A1" display="Biểu 10"/>
    <hyperlink ref="K63:K70" location="'Biểu 11 Giao thông'!A1" display="Biểu 11"/>
    <hyperlink ref="K71:K72" location="'Biểu 12 Vận tải công cộng'!A1" display="Biểu 12"/>
    <hyperlink ref="K74:K75" location="'Biểu 13 Cấp điện'!A1" display="Biểu 13"/>
    <hyperlink ref="K76:K79" location="'Biểu 11 Giao thông'!A1" display="Biểu 11"/>
    <hyperlink ref="K81:K84" location="'Biểu 14 Cấp nước'!A1" display="Biểu 14"/>
    <hyperlink ref="K86:K89" location="'Biểu 15 Viễn thông'!A1" display="Biểu 15"/>
    <hyperlink ref="K90:K91" location="'Biểu 16 DV công trực tuyến'!A1" display="BIỂU 16"/>
    <hyperlink ref="K94:K95" location="'Biểu 11 Giao thông'!A1" display="'Biểu 11 Giao thông'!A1"/>
    <hyperlink ref="K96:K97" location="'Biểu 17 Chống ngập úng'!A1" display="Biểu 17"/>
    <hyperlink ref="K112" location="'Biểu 19 Nghĩa trang-Cây xanhĐT'!A1" display="Biểu 19"/>
    <hyperlink ref="K114:K117" location="'Biểu 19 Nghĩa trang-Cây xanhĐT'!A1" display="'Biểu 19 Nghĩa trang-Cây xanhĐT'!A1"/>
    <hyperlink ref="K125:K128" location="'Biểu 20 KGCC-Kiến trúc TB'!A1" display="Biểu 20"/>
    <hyperlink ref="K34:K35" location="'Biểu 2 Chi tiêu KTXH'!A1" display="'Biểu 2 Chi tiêu KTXH'!A1"/>
  </hyperlinks>
  <printOptions/>
  <pageMargins left="0.2755905511811024" right="0" top="0.5118110236220472" bottom="0.35433070866141736" header="0.31496062992125984" footer="0.1968503937007874"/>
  <pageSetup fitToHeight="0" fitToWidth="1" horizontalDpi="600" verticalDpi="600" orientation="portrait" paperSize="9" scale="67" r:id="rId1"/>
  <headerFooter>
    <oddFooter>&amp;CPHỤ LỤC II - Trang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48"/>
  <sheetViews>
    <sheetView view="pageBreakPreview" zoomScale="115" zoomScaleSheetLayoutView="115" zoomScalePageLayoutView="0" workbookViewId="0" topLeftCell="A1">
      <selection activeCell="E11" sqref="E11"/>
    </sheetView>
  </sheetViews>
  <sheetFormatPr defaultColWidth="8.88671875" defaultRowHeight="18.75"/>
  <cols>
    <col min="1" max="1" width="4.4453125" style="0" bestFit="1" customWidth="1"/>
    <col min="2" max="2" width="36.77734375" style="0" customWidth="1"/>
    <col min="3" max="5" width="12.99609375" style="0" customWidth="1"/>
  </cols>
  <sheetData>
    <row r="1" spans="1:5" ht="18.75">
      <c r="A1" s="390" t="str">
        <f>'THÔNG TIN CHUNG'!A1:B1</f>
        <v>UBND HUYỆN</v>
      </c>
      <c r="B1" s="390"/>
      <c r="C1" s="391" t="s">
        <v>200</v>
      </c>
      <c r="D1" s="391"/>
      <c r="E1" s="391"/>
    </row>
    <row r="2" spans="1:5" ht="18.75" customHeight="1">
      <c r="A2" s="399" t="str">
        <f>'THÔNG TIN CHUNG'!B10</f>
        <v>PHÒNG TÀI CHÍNH - KẾ HOẠCH</v>
      </c>
      <c r="B2" s="399"/>
      <c r="C2" s="393" t="s">
        <v>201</v>
      </c>
      <c r="D2" s="393"/>
      <c r="E2" s="393"/>
    </row>
    <row r="3" spans="1:5" ht="18.75">
      <c r="A3" s="55"/>
      <c r="B3" s="57"/>
      <c r="C3" s="57"/>
      <c r="D3" s="57"/>
      <c r="E3" s="57"/>
    </row>
    <row r="4" spans="1:5" ht="18.75">
      <c r="A4" s="55"/>
      <c r="B4" s="57"/>
      <c r="C4" s="394" t="str">
        <f>'THÔNG TIN CHUNG'!C4:F4</f>
        <v>Kon Rẫy, ngày …. tháng …. năm 202..</v>
      </c>
      <c r="D4" s="394"/>
      <c r="E4" s="394"/>
    </row>
    <row r="5" spans="1:5" ht="6.75" customHeight="1">
      <c r="A5" s="55"/>
      <c r="B5" s="57"/>
      <c r="C5" s="57"/>
      <c r="D5" s="57"/>
      <c r="E5" s="57"/>
    </row>
    <row r="6" spans="1:5" ht="44.25" customHeight="1">
      <c r="A6" s="399" t="s">
        <v>507</v>
      </c>
      <c r="B6" s="399"/>
      <c r="C6" s="399"/>
      <c r="D6" s="399"/>
      <c r="E6" s="399"/>
    </row>
    <row r="7" spans="1:5" ht="6.75" customHeight="1">
      <c r="A7" s="58"/>
      <c r="B7" s="58"/>
      <c r="C7" s="58"/>
      <c r="D7" s="58"/>
      <c r="E7" s="58"/>
    </row>
    <row r="8" spans="1:5" ht="18.75">
      <c r="A8" s="400" t="s">
        <v>247</v>
      </c>
      <c r="B8" s="401" t="s">
        <v>248</v>
      </c>
      <c r="C8" s="402" t="s">
        <v>470</v>
      </c>
      <c r="D8" s="402" t="s">
        <v>469</v>
      </c>
      <c r="E8" s="402" t="s">
        <v>468</v>
      </c>
    </row>
    <row r="9" spans="1:5" ht="18.75">
      <c r="A9" s="400"/>
      <c r="B9" s="401"/>
      <c r="C9" s="403"/>
      <c r="D9" s="403"/>
      <c r="E9" s="403"/>
    </row>
    <row r="10" spans="1:5" ht="18.75">
      <c r="A10" s="74">
        <v>1</v>
      </c>
      <c r="B10" s="74">
        <v>2</v>
      </c>
      <c r="C10" s="74">
        <v>3</v>
      </c>
      <c r="D10" s="74">
        <v>4</v>
      </c>
      <c r="E10" s="74">
        <v>5</v>
      </c>
    </row>
    <row r="11" spans="1:5" ht="30">
      <c r="A11" s="221" t="s">
        <v>26</v>
      </c>
      <c r="B11" s="234" t="s">
        <v>471</v>
      </c>
      <c r="C11" s="223"/>
      <c r="D11" s="223"/>
      <c r="E11" s="235">
        <v>382231</v>
      </c>
    </row>
    <row r="12" spans="1:5" ht="18.75">
      <c r="A12" s="75" t="s">
        <v>1</v>
      </c>
      <c r="B12" s="76" t="s">
        <v>472</v>
      </c>
      <c r="C12" s="77"/>
      <c r="D12" s="77"/>
      <c r="E12" s="77"/>
    </row>
    <row r="13" spans="1:5" ht="18.75">
      <c r="A13" s="78">
        <v>1</v>
      </c>
      <c r="B13" s="226" t="s">
        <v>493</v>
      </c>
      <c r="C13" s="80"/>
      <c r="D13" s="80"/>
      <c r="E13" s="80"/>
    </row>
    <row r="14" spans="1:5" ht="18.75" customHeight="1">
      <c r="A14" s="78">
        <v>2</v>
      </c>
      <c r="B14" s="226" t="s">
        <v>494</v>
      </c>
      <c r="C14" s="80"/>
      <c r="D14" s="80"/>
      <c r="E14" s="80"/>
    </row>
    <row r="15" spans="1:5" ht="18.75">
      <c r="A15" s="78">
        <v>3</v>
      </c>
      <c r="B15" s="227" t="s">
        <v>495</v>
      </c>
      <c r="C15" s="80"/>
      <c r="D15" s="80"/>
      <c r="E15" s="80"/>
    </row>
    <row r="16" spans="1:5" ht="18.75">
      <c r="A16" s="78">
        <v>4</v>
      </c>
      <c r="B16" s="226" t="s">
        <v>496</v>
      </c>
      <c r="C16" s="80"/>
      <c r="D16" s="80"/>
      <c r="E16" s="80"/>
    </row>
    <row r="17" spans="1:5" ht="18.75">
      <c r="A17" s="78">
        <v>5</v>
      </c>
      <c r="B17" s="226" t="s">
        <v>497</v>
      </c>
      <c r="C17" s="80"/>
      <c r="D17" s="80"/>
      <c r="E17" s="80"/>
    </row>
    <row r="18" spans="1:5" ht="18.75">
      <c r="A18" s="78">
        <v>6</v>
      </c>
      <c r="B18" s="226" t="s">
        <v>498</v>
      </c>
      <c r="C18" s="80"/>
      <c r="D18" s="80"/>
      <c r="E18" s="80"/>
    </row>
    <row r="19" spans="1:5" ht="18.75">
      <c r="A19" s="78">
        <v>7</v>
      </c>
      <c r="B19" s="226" t="s">
        <v>499</v>
      </c>
      <c r="C19" s="80"/>
      <c r="D19" s="80"/>
      <c r="E19" s="80"/>
    </row>
    <row r="20" spans="1:5" ht="18.75">
      <c r="A20" s="78">
        <v>8</v>
      </c>
      <c r="B20" s="226" t="s">
        <v>500</v>
      </c>
      <c r="C20" s="80"/>
      <c r="D20" s="80"/>
      <c r="E20" s="80"/>
    </row>
    <row r="21" spans="1:5" ht="18.75">
      <c r="A21" s="78">
        <v>9</v>
      </c>
      <c r="B21" s="226" t="s">
        <v>501</v>
      </c>
      <c r="C21" s="80"/>
      <c r="D21" s="80"/>
      <c r="E21" s="80"/>
    </row>
    <row r="22" spans="1:5" ht="18.75">
      <c r="A22" s="78">
        <v>10</v>
      </c>
      <c r="B22" s="226" t="s">
        <v>249</v>
      </c>
      <c r="C22" s="80"/>
      <c r="D22" s="80"/>
      <c r="E22" s="80"/>
    </row>
    <row r="23" spans="1:5" ht="18.75">
      <c r="A23" s="78">
        <v>11</v>
      </c>
      <c r="B23" s="226" t="s">
        <v>502</v>
      </c>
      <c r="C23" s="80"/>
      <c r="D23" s="80"/>
      <c r="E23" s="80"/>
    </row>
    <row r="24" spans="1:5" s="88" customFormat="1" ht="18.75">
      <c r="A24" s="75" t="s">
        <v>3</v>
      </c>
      <c r="B24" s="76" t="s">
        <v>473</v>
      </c>
      <c r="C24" s="220"/>
      <c r="D24" s="220"/>
      <c r="E24" s="220"/>
    </row>
    <row r="25" spans="1:5" s="88" customFormat="1" ht="18.75">
      <c r="A25" s="75" t="s">
        <v>475</v>
      </c>
      <c r="B25" s="76" t="s">
        <v>474</v>
      </c>
      <c r="C25" s="220"/>
      <c r="D25" s="220"/>
      <c r="E25" s="220"/>
    </row>
    <row r="26" spans="1:5" s="88" customFormat="1" ht="18.75">
      <c r="A26" s="75" t="s">
        <v>6</v>
      </c>
      <c r="B26" s="76" t="s">
        <v>503</v>
      </c>
      <c r="C26" s="220"/>
      <c r="D26" s="220"/>
      <c r="E26" s="220"/>
    </row>
    <row r="27" spans="1:5" ht="18.75">
      <c r="A27" s="221" t="s">
        <v>27</v>
      </c>
      <c r="B27" s="222" t="s">
        <v>253</v>
      </c>
      <c r="C27" s="223"/>
      <c r="D27" s="223"/>
      <c r="E27" s="233">
        <v>276326</v>
      </c>
    </row>
    <row r="28" spans="1:5" ht="18.75">
      <c r="A28" s="221" t="s">
        <v>1</v>
      </c>
      <c r="B28" s="222" t="s">
        <v>476</v>
      </c>
      <c r="C28" s="223"/>
      <c r="D28" s="223"/>
      <c r="E28" s="223"/>
    </row>
    <row r="29" spans="1:5" ht="18.75">
      <c r="A29" s="221">
        <v>1</v>
      </c>
      <c r="B29" s="222" t="s">
        <v>256</v>
      </c>
      <c r="C29" s="223"/>
      <c r="D29" s="223"/>
      <c r="E29" s="223"/>
    </row>
    <row r="30" spans="1:5" ht="18.75">
      <c r="A30" s="224" t="s">
        <v>15</v>
      </c>
      <c r="B30" s="79" t="s">
        <v>256</v>
      </c>
      <c r="C30" s="223"/>
      <c r="D30" s="223"/>
      <c r="E30" s="223"/>
    </row>
    <row r="31" spans="1:5" ht="18.75">
      <c r="A31" s="224" t="s">
        <v>25</v>
      </c>
      <c r="B31" s="79" t="s">
        <v>257</v>
      </c>
      <c r="C31" s="223"/>
      <c r="D31" s="223"/>
      <c r="E31" s="223"/>
    </row>
    <row r="32" spans="1:5" ht="18.75">
      <c r="A32" s="75">
        <v>2</v>
      </c>
      <c r="B32" s="76" t="s">
        <v>254</v>
      </c>
      <c r="C32" s="77"/>
      <c r="D32" s="77"/>
      <c r="E32" s="77"/>
    </row>
    <row r="33" spans="1:5" ht="18.75">
      <c r="A33" s="78" t="s">
        <v>14</v>
      </c>
      <c r="B33" s="225" t="s">
        <v>482</v>
      </c>
      <c r="C33" s="80"/>
      <c r="D33" s="80"/>
      <c r="E33" s="80"/>
    </row>
    <row r="34" spans="1:5" ht="18.75">
      <c r="A34" s="78" t="s">
        <v>13</v>
      </c>
      <c r="B34" s="225" t="s">
        <v>483</v>
      </c>
      <c r="C34" s="80"/>
      <c r="D34" s="80"/>
      <c r="E34" s="80"/>
    </row>
    <row r="35" spans="1:5" ht="18.75">
      <c r="A35" s="78" t="s">
        <v>24</v>
      </c>
      <c r="B35" s="225" t="s">
        <v>484</v>
      </c>
      <c r="C35" s="80"/>
      <c r="D35" s="131"/>
      <c r="E35" s="131"/>
    </row>
    <row r="36" spans="1:5" ht="18.75">
      <c r="A36" s="78" t="s">
        <v>23</v>
      </c>
      <c r="B36" s="225" t="s">
        <v>485</v>
      </c>
      <c r="C36" s="80"/>
      <c r="D36" s="131"/>
      <c r="E36" s="131"/>
    </row>
    <row r="37" spans="1:5" ht="18.75">
      <c r="A37" s="78" t="s">
        <v>22</v>
      </c>
      <c r="B37" s="225" t="s">
        <v>486</v>
      </c>
      <c r="C37" s="80"/>
      <c r="D37" s="80"/>
      <c r="E37" s="80"/>
    </row>
    <row r="38" spans="1:5" ht="18.75">
      <c r="A38" s="78" t="s">
        <v>21</v>
      </c>
      <c r="B38" s="225" t="s">
        <v>487</v>
      </c>
      <c r="C38" s="80"/>
      <c r="D38" s="80"/>
      <c r="E38" s="80"/>
    </row>
    <row r="39" spans="1:5" ht="18.75">
      <c r="A39" s="78" t="s">
        <v>250</v>
      </c>
      <c r="B39" s="225" t="s">
        <v>488</v>
      </c>
      <c r="C39" s="80"/>
      <c r="D39" s="80"/>
      <c r="E39" s="80"/>
    </row>
    <row r="40" spans="1:5" ht="18.75">
      <c r="A40" s="78" t="s">
        <v>477</v>
      </c>
      <c r="B40" s="225" t="s">
        <v>489</v>
      </c>
      <c r="C40" s="80"/>
      <c r="D40" s="80"/>
      <c r="E40" s="80"/>
    </row>
    <row r="41" spans="1:5" ht="30.75">
      <c r="A41" s="230" t="s">
        <v>478</v>
      </c>
      <c r="B41" s="229" t="s">
        <v>490</v>
      </c>
      <c r="C41" s="80"/>
      <c r="D41" s="80"/>
      <c r="E41" s="80"/>
    </row>
    <row r="42" spans="1:5" ht="18.75">
      <c r="A42" s="78" t="s">
        <v>251</v>
      </c>
      <c r="B42" s="225" t="s">
        <v>491</v>
      </c>
      <c r="C42" s="80"/>
      <c r="D42" s="80"/>
      <c r="E42" s="80"/>
    </row>
    <row r="43" spans="1:5" ht="18.75">
      <c r="A43" s="78" t="s">
        <v>252</v>
      </c>
      <c r="B43" s="225" t="s">
        <v>492</v>
      </c>
      <c r="C43" s="80"/>
      <c r="D43" s="80"/>
      <c r="E43" s="80"/>
    </row>
    <row r="44" spans="1:5" ht="18.75">
      <c r="A44" s="78" t="s">
        <v>479</v>
      </c>
      <c r="B44" s="225" t="s">
        <v>255</v>
      </c>
      <c r="C44" s="80"/>
      <c r="D44" s="80"/>
      <c r="E44" s="80"/>
    </row>
    <row r="45" spans="1:5" ht="18.75">
      <c r="A45" s="75">
        <v>3</v>
      </c>
      <c r="B45" s="76" t="s">
        <v>480</v>
      </c>
      <c r="C45" s="77"/>
      <c r="D45" s="77"/>
      <c r="E45" s="77"/>
    </row>
    <row r="46" spans="1:5" ht="28.5">
      <c r="A46" s="231" t="s">
        <v>3</v>
      </c>
      <c r="B46" s="232" t="s">
        <v>481</v>
      </c>
      <c r="C46" s="77"/>
      <c r="D46" s="77"/>
      <c r="E46" s="77"/>
    </row>
    <row r="47" spans="1:5" ht="10.5" customHeight="1">
      <c r="A47" s="61"/>
      <c r="B47" s="62"/>
      <c r="C47" s="61"/>
      <c r="D47" s="63"/>
      <c r="E47" s="63"/>
    </row>
    <row r="48" spans="1:5" ht="118.5" customHeight="1">
      <c r="A48" s="62"/>
      <c r="B48" s="67" t="str">
        <f>A1</f>
        <v>UBND HUYỆN</v>
      </c>
      <c r="C48" s="404" t="str">
        <f>A2</f>
        <v>PHÒNG TÀI CHÍNH - KẾ HOẠCH</v>
      </c>
      <c r="D48" s="404"/>
      <c r="E48" s="404"/>
    </row>
  </sheetData>
  <sheetProtection/>
  <mergeCells count="12">
    <mergeCell ref="A1:B1"/>
    <mergeCell ref="C1:E1"/>
    <mergeCell ref="A2:B2"/>
    <mergeCell ref="C2:E2"/>
    <mergeCell ref="C4:E4"/>
    <mergeCell ref="A6:E6"/>
    <mergeCell ref="A8:A9"/>
    <mergeCell ref="B8:B9"/>
    <mergeCell ref="C8:C9"/>
    <mergeCell ref="D8:D9"/>
    <mergeCell ref="E8:E9"/>
    <mergeCell ref="C48:E48"/>
  </mergeCells>
  <printOptions/>
  <pageMargins left="0.984251968503937" right="0.5905511811023622" top="0.5905511811023622" bottom="0.5905511811023622" header="0.31496062992125984" footer="0.31496062992125984"/>
  <pageSetup fitToHeight="1" fitToWidth="1" horizontalDpi="600" verticalDpi="600" orientation="portrait" paperSize="9" scale="79" r:id="rId1"/>
</worksheet>
</file>

<file path=xl/worksheets/sheet4.xml><?xml version="1.0" encoding="utf-8"?>
<worksheet xmlns="http://schemas.openxmlformats.org/spreadsheetml/2006/main" xmlns:r="http://schemas.openxmlformats.org/officeDocument/2006/relationships">
  <dimension ref="A1:H21"/>
  <sheetViews>
    <sheetView view="pageBreakPreview" zoomScale="115" zoomScaleSheetLayoutView="115" zoomScalePageLayoutView="0" workbookViewId="0" topLeftCell="A7">
      <selection activeCell="F12" sqref="F12"/>
    </sheetView>
  </sheetViews>
  <sheetFormatPr defaultColWidth="8.88671875" defaultRowHeight="18.75"/>
  <cols>
    <col min="1" max="1" width="5.3359375" style="0" customWidth="1"/>
    <col min="2" max="2" width="18.4453125" style="0" customWidth="1"/>
    <col min="3" max="3" width="10.4453125" style="0" customWidth="1"/>
    <col min="4" max="6" width="9.99609375" style="0" customWidth="1"/>
  </cols>
  <sheetData>
    <row r="1" spans="1:6" ht="18.75">
      <c r="A1" s="390"/>
      <c r="B1" s="390"/>
      <c r="C1" s="391" t="s">
        <v>200</v>
      </c>
      <c r="D1" s="391"/>
      <c r="E1" s="391"/>
      <c r="F1" s="391"/>
    </row>
    <row r="2" spans="1:6" ht="53.25" customHeight="1">
      <c r="A2" s="405" t="str">
        <f>'THÔNG TIN CHUNG'!B21</f>
        <v>CHI CỤC THỐNG KÊ KHU VỰC 
KON PLONG - KON RẪY</v>
      </c>
      <c r="B2" s="405"/>
      <c r="C2" s="393" t="s">
        <v>201</v>
      </c>
      <c r="D2" s="393"/>
      <c r="E2" s="393"/>
      <c r="F2" s="393"/>
    </row>
    <row r="3" spans="1:6" ht="6" customHeight="1">
      <c r="A3" s="55"/>
      <c r="B3" s="57"/>
      <c r="C3" s="57"/>
      <c r="D3" s="57"/>
      <c r="E3" s="57"/>
      <c r="F3" s="57"/>
    </row>
    <row r="4" spans="1:6" ht="18.75">
      <c r="A4" s="55"/>
      <c r="B4" s="57"/>
      <c r="C4" s="394" t="str">
        <f>'THÔNG TIN CHUNG'!C4:F4</f>
        <v>Kon Rẫy, ngày …. tháng …. năm 202..</v>
      </c>
      <c r="D4" s="394"/>
      <c r="E4" s="394"/>
      <c r="F4" s="394"/>
    </row>
    <row r="5" spans="1:6" ht="18.75">
      <c r="A5" s="55"/>
      <c r="B5" s="57"/>
      <c r="C5" s="57"/>
      <c r="D5" s="57"/>
      <c r="E5" s="57"/>
      <c r="F5" s="57"/>
    </row>
    <row r="6" spans="1:6" ht="44.25" customHeight="1">
      <c r="A6" s="399" t="s">
        <v>508</v>
      </c>
      <c r="B6" s="399"/>
      <c r="C6" s="399"/>
      <c r="D6" s="399"/>
      <c r="E6" s="399"/>
      <c r="F6" s="399"/>
    </row>
    <row r="7" spans="1:6" ht="7.5" customHeight="1">
      <c r="A7" s="58"/>
      <c r="B7" s="58"/>
      <c r="C7" s="58"/>
      <c r="D7" s="58"/>
      <c r="E7" s="58"/>
      <c r="F7" s="58"/>
    </row>
    <row r="8" spans="1:6" ht="18.75">
      <c r="A8" s="59" t="s">
        <v>9</v>
      </c>
      <c r="B8" s="59" t="s">
        <v>202</v>
      </c>
      <c r="C8" s="59" t="s">
        <v>203</v>
      </c>
      <c r="D8" s="60" t="s">
        <v>204</v>
      </c>
      <c r="E8" s="60" t="s">
        <v>205</v>
      </c>
      <c r="F8" s="60" t="s">
        <v>228</v>
      </c>
    </row>
    <row r="9" spans="1:6" ht="31.5">
      <c r="A9" s="60">
        <v>1</v>
      </c>
      <c r="B9" s="98" t="s">
        <v>206</v>
      </c>
      <c r="C9" s="59" t="s">
        <v>611</v>
      </c>
      <c r="D9" s="206">
        <v>37</v>
      </c>
      <c r="E9" s="206">
        <v>38.6</v>
      </c>
      <c r="F9" s="206">
        <v>40.5</v>
      </c>
    </row>
    <row r="10" spans="1:6" ht="31.5">
      <c r="A10" s="60">
        <v>2</v>
      </c>
      <c r="B10" s="98" t="s">
        <v>285</v>
      </c>
      <c r="C10" s="60" t="s">
        <v>207</v>
      </c>
      <c r="D10" s="207">
        <v>14.3</v>
      </c>
      <c r="E10" s="207">
        <v>15.2</v>
      </c>
      <c r="F10" s="207">
        <v>15.7</v>
      </c>
    </row>
    <row r="11" spans="1:6" ht="47.25">
      <c r="A11" s="60">
        <v>3</v>
      </c>
      <c r="B11" s="98" t="s">
        <v>284</v>
      </c>
      <c r="C11" s="60" t="s">
        <v>207</v>
      </c>
      <c r="D11" s="208">
        <v>51</v>
      </c>
      <c r="E11" s="208">
        <v>53</v>
      </c>
      <c r="F11" s="208">
        <v>55</v>
      </c>
    </row>
    <row r="12" spans="1:6" ht="18.75">
      <c r="A12" s="60">
        <v>4</v>
      </c>
      <c r="B12" s="98" t="s">
        <v>208</v>
      </c>
      <c r="C12" s="60" t="s">
        <v>209</v>
      </c>
      <c r="D12" s="208"/>
      <c r="E12" s="208"/>
      <c r="F12" s="208">
        <v>5419</v>
      </c>
    </row>
    <row r="13" spans="1:6" ht="18.75">
      <c r="A13" s="60">
        <v>5</v>
      </c>
      <c r="B13" s="98" t="s">
        <v>210</v>
      </c>
      <c r="C13" s="60" t="s">
        <v>211</v>
      </c>
      <c r="D13" s="208">
        <f>+D14+D15</f>
        <v>33</v>
      </c>
      <c r="E13" s="208">
        <f>+E14+E15</f>
        <v>26</v>
      </c>
      <c r="F13" s="208">
        <f>+F14+F15</f>
        <v>21</v>
      </c>
    </row>
    <row r="14" spans="1:6" ht="31.5" customHeight="1">
      <c r="A14" s="11" t="s">
        <v>212</v>
      </c>
      <c r="B14" s="51" t="s">
        <v>213</v>
      </c>
      <c r="C14" s="11" t="s">
        <v>211</v>
      </c>
      <c r="D14" s="292">
        <v>18</v>
      </c>
      <c r="E14" s="292">
        <v>14</v>
      </c>
      <c r="F14" s="292">
        <v>11</v>
      </c>
    </row>
    <row r="15" spans="1:6" ht="18.75">
      <c r="A15" s="11" t="s">
        <v>214</v>
      </c>
      <c r="B15" s="51" t="s">
        <v>215</v>
      </c>
      <c r="C15" s="11" t="s">
        <v>211</v>
      </c>
      <c r="D15" s="292">
        <v>15</v>
      </c>
      <c r="E15" s="292">
        <v>12</v>
      </c>
      <c r="F15" s="292">
        <v>10</v>
      </c>
    </row>
    <row r="16" spans="1:6" ht="31.5">
      <c r="A16" s="60">
        <v>6</v>
      </c>
      <c r="B16" s="98" t="s">
        <v>7</v>
      </c>
      <c r="C16" s="60" t="s">
        <v>207</v>
      </c>
      <c r="D16" s="208">
        <v>32</v>
      </c>
      <c r="E16" s="208">
        <v>37</v>
      </c>
      <c r="F16" s="208">
        <v>39</v>
      </c>
    </row>
    <row r="17" spans="1:6" ht="40.5" customHeight="1">
      <c r="A17" s="62"/>
      <c r="B17" s="66"/>
      <c r="C17" s="64"/>
      <c r="D17" s="389" t="str">
        <f>A2</f>
        <v>CHI CỤC THỐNG KÊ KHU VỰC 
KON PLONG - KON RẪY</v>
      </c>
      <c r="E17" s="389"/>
      <c r="F17" s="389"/>
    </row>
    <row r="20" ht="18.75">
      <c r="F20" s="361"/>
    </row>
    <row r="21" ht="18.75">
      <c r="H21">
        <v>6654</v>
      </c>
    </row>
  </sheetData>
  <sheetProtection/>
  <mergeCells count="7">
    <mergeCell ref="D17:F17"/>
    <mergeCell ref="A1:B1"/>
    <mergeCell ref="C1:F1"/>
    <mergeCell ref="A2:B2"/>
    <mergeCell ref="C2:F2"/>
    <mergeCell ref="C4:F4"/>
    <mergeCell ref="A6:F6"/>
  </mergeCells>
  <printOptions/>
  <pageMargins left="0.984251968503937" right="0.5905511811023622" top="0.5905511811023622" bottom="0.5905511811023622" header="0.31496062992125984" footer="0.31496062992125984"/>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E20"/>
  <sheetViews>
    <sheetView view="pageBreakPreview" zoomScaleSheetLayoutView="100" zoomScalePageLayoutView="0" workbookViewId="0" topLeftCell="A1">
      <selection activeCell="E17" sqref="E17"/>
    </sheetView>
  </sheetViews>
  <sheetFormatPr defaultColWidth="8.88671875" defaultRowHeight="18.75"/>
  <cols>
    <col min="1" max="1" width="6.3359375" style="0" customWidth="1"/>
    <col min="2" max="2" width="22.88671875" style="0" customWidth="1"/>
    <col min="3" max="5" width="14.10546875" style="0" customWidth="1"/>
  </cols>
  <sheetData>
    <row r="1" spans="1:5" ht="18.75">
      <c r="A1" s="390" t="str">
        <f>'THÔNG TIN CHUNG'!A1:B1</f>
        <v>UBND HUYỆN</v>
      </c>
      <c r="B1" s="390"/>
      <c r="C1" s="391" t="s">
        <v>200</v>
      </c>
      <c r="D1" s="391"/>
      <c r="E1" s="391"/>
    </row>
    <row r="2" spans="1:5" ht="33" customHeight="1">
      <c r="A2" s="399" t="str">
        <f>'THÔNG TIN CHUNG'!B14</f>
        <v>PHÒNG LAO ĐỘNG - THƯƠNG BINH &amp; XÃ HỘI</v>
      </c>
      <c r="B2" s="399"/>
      <c r="C2" s="393" t="s">
        <v>201</v>
      </c>
      <c r="D2" s="393"/>
      <c r="E2" s="393"/>
    </row>
    <row r="3" spans="1:5" ht="12" customHeight="1">
      <c r="A3" s="55"/>
      <c r="B3" s="57"/>
      <c r="C3" s="57"/>
      <c r="D3" s="57"/>
      <c r="E3" s="57"/>
    </row>
    <row r="4" spans="1:5" ht="18.75">
      <c r="A4" s="55"/>
      <c r="B4" s="57"/>
      <c r="C4" s="394" t="str">
        <f>'THÔNG TIN CHUNG'!C4:F4</f>
        <v>Kon Rẫy, ngày …. tháng …. năm 202..</v>
      </c>
      <c r="D4" s="394"/>
      <c r="E4" s="394"/>
    </row>
    <row r="5" spans="1:5" ht="19.5" customHeight="1">
      <c r="A5" s="55"/>
      <c r="B5" s="57"/>
      <c r="C5" s="57"/>
      <c r="D5" s="57"/>
      <c r="E5" s="57"/>
    </row>
    <row r="6" spans="1:5" ht="44.25" customHeight="1">
      <c r="A6" s="399" t="s">
        <v>270</v>
      </c>
      <c r="B6" s="399"/>
      <c r="C6" s="399"/>
      <c r="D6" s="399"/>
      <c r="E6" s="399"/>
    </row>
    <row r="7" spans="1:5" ht="18.75">
      <c r="A7" s="58"/>
      <c r="B7" s="58"/>
      <c r="C7" s="58"/>
      <c r="D7" s="58"/>
      <c r="E7" s="58"/>
    </row>
    <row r="8" spans="1:5" ht="18.75">
      <c r="A8" s="406" t="s">
        <v>9</v>
      </c>
      <c r="B8" s="406" t="s">
        <v>258</v>
      </c>
      <c r="C8" s="408" t="s">
        <v>228</v>
      </c>
      <c r="D8" s="409"/>
      <c r="E8" s="410"/>
    </row>
    <row r="9" spans="1:5" ht="31.5">
      <c r="A9" s="407"/>
      <c r="B9" s="407"/>
      <c r="C9" s="60" t="s">
        <v>267</v>
      </c>
      <c r="D9" s="59" t="s">
        <v>268</v>
      </c>
      <c r="E9" s="60" t="s">
        <v>271</v>
      </c>
    </row>
    <row r="10" spans="1:5" ht="18.75">
      <c r="A10" s="60" t="s">
        <v>1</v>
      </c>
      <c r="B10" s="81" t="s">
        <v>259</v>
      </c>
      <c r="C10" s="60"/>
      <c r="D10" s="82"/>
      <c r="E10" s="82"/>
    </row>
    <row r="11" spans="1:5" s="18" customFormat="1" ht="18.75">
      <c r="A11" s="11">
        <v>1</v>
      </c>
      <c r="B11" s="31" t="s">
        <v>260</v>
      </c>
      <c r="C11" s="363">
        <v>131</v>
      </c>
      <c r="D11" s="259">
        <v>8</v>
      </c>
      <c r="E11" s="372">
        <f>+D11/C11%</f>
        <v>6.106870229007633</v>
      </c>
    </row>
    <row r="12" spans="1:5" s="18" customFormat="1" ht="18.75">
      <c r="A12" s="11">
        <v>2</v>
      </c>
      <c r="B12" s="31" t="s">
        <v>261</v>
      </c>
      <c r="C12" s="363">
        <v>430</v>
      </c>
      <c r="D12" s="259">
        <v>11</v>
      </c>
      <c r="E12" s="372">
        <f aca="true" t="shared" si="0" ref="E12:E18">+D12/C12%</f>
        <v>2.558139534883721</v>
      </c>
    </row>
    <row r="13" spans="1:5" s="18" customFormat="1" ht="18.75">
      <c r="A13" s="11">
        <v>3</v>
      </c>
      <c r="B13" s="31" t="s">
        <v>262</v>
      </c>
      <c r="C13" s="363">
        <v>141</v>
      </c>
      <c r="D13" s="260">
        <v>20</v>
      </c>
      <c r="E13" s="372">
        <f t="shared" si="0"/>
        <v>14.184397163120568</v>
      </c>
    </row>
    <row r="14" spans="1:5" s="18" customFormat="1" ht="18.75">
      <c r="A14" s="11">
        <v>4</v>
      </c>
      <c r="B14" s="31" t="s">
        <v>264</v>
      </c>
      <c r="C14" s="363">
        <v>172</v>
      </c>
      <c r="D14" s="259">
        <v>2</v>
      </c>
      <c r="E14" s="372">
        <f t="shared" si="0"/>
        <v>1.1627906976744187</v>
      </c>
    </row>
    <row r="15" spans="1:5" ht="18.75">
      <c r="A15" s="60" t="s">
        <v>3</v>
      </c>
      <c r="B15" s="81" t="s">
        <v>263</v>
      </c>
      <c r="C15" s="369"/>
      <c r="D15" s="258"/>
      <c r="E15" s="372"/>
    </row>
    <row r="16" spans="1:5" s="18" customFormat="1" ht="18.75">
      <c r="A16" s="11">
        <v>1</v>
      </c>
      <c r="B16" s="31" t="s">
        <v>265</v>
      </c>
      <c r="C16" s="370">
        <v>164</v>
      </c>
      <c r="D16" s="259">
        <v>5</v>
      </c>
      <c r="E16" s="372">
        <f t="shared" si="0"/>
        <v>3.048780487804878</v>
      </c>
    </row>
    <row r="17" spans="1:5" s="18" customFormat="1" ht="18.75">
      <c r="A17" s="11">
        <v>2</v>
      </c>
      <c r="B17" s="31" t="s">
        <v>266</v>
      </c>
      <c r="C17" s="370">
        <v>256</v>
      </c>
      <c r="D17" s="259">
        <v>9</v>
      </c>
      <c r="E17" s="372">
        <f t="shared" si="0"/>
        <v>3.515625</v>
      </c>
    </row>
    <row r="18" spans="1:5" ht="18.75">
      <c r="A18" s="411" t="s">
        <v>269</v>
      </c>
      <c r="B18" s="411"/>
      <c r="C18" s="371">
        <f>+SUM(C11:C17)</f>
        <v>1294</v>
      </c>
      <c r="D18" s="261">
        <v>55</v>
      </c>
      <c r="E18" s="373">
        <f t="shared" si="0"/>
        <v>4.250386398763524</v>
      </c>
    </row>
    <row r="19" spans="1:5" ht="12.75" customHeight="1">
      <c r="A19" s="90"/>
      <c r="B19" s="90"/>
      <c r="C19" s="90"/>
      <c r="D19" s="91"/>
      <c r="E19" s="91"/>
    </row>
    <row r="20" spans="1:5" ht="40.5" customHeight="1">
      <c r="A20" s="62"/>
      <c r="B20" s="66" t="str">
        <f>A1</f>
        <v>UBND HUYỆN</v>
      </c>
      <c r="C20" s="64"/>
      <c r="D20" s="389" t="str">
        <f>A2</f>
        <v>PHÒNG LAO ĐỘNG - THƯƠNG BINH &amp; XÃ HỘI</v>
      </c>
      <c r="E20" s="389"/>
    </row>
  </sheetData>
  <sheetProtection/>
  <mergeCells count="11">
    <mergeCell ref="A1:B1"/>
    <mergeCell ref="C1:E1"/>
    <mergeCell ref="A2:B2"/>
    <mergeCell ref="C2:E2"/>
    <mergeCell ref="C4:E4"/>
    <mergeCell ref="A6:E6"/>
    <mergeCell ref="D20:E20"/>
    <mergeCell ref="B8:B9"/>
    <mergeCell ref="A8:A9"/>
    <mergeCell ref="C8:E8"/>
    <mergeCell ref="A18:B18"/>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G15"/>
  <sheetViews>
    <sheetView view="pageBreakPreview" zoomScale="130" zoomScaleSheetLayoutView="130" zoomScalePageLayoutView="0" workbookViewId="0" topLeftCell="A7">
      <selection activeCell="G13" sqref="G13"/>
    </sheetView>
  </sheetViews>
  <sheetFormatPr defaultColWidth="8.88671875" defaultRowHeight="18.75"/>
  <cols>
    <col min="1" max="1" width="2.99609375" style="0" bestFit="1" customWidth="1"/>
    <col min="2" max="2" width="24.3359375" style="0" customWidth="1"/>
    <col min="3" max="4" width="9.3359375" style="0" customWidth="1"/>
    <col min="5" max="5" width="12.77734375" style="0" customWidth="1"/>
    <col min="6" max="6" width="10.6640625" style="0" customWidth="1"/>
  </cols>
  <sheetData>
    <row r="1" spans="1:6" ht="18.75">
      <c r="A1" s="390" t="str">
        <f>'THÔNG TIN CHUNG'!A1:B1</f>
        <v>UBND HUYỆN</v>
      </c>
      <c r="B1" s="390"/>
      <c r="C1" s="391" t="s">
        <v>200</v>
      </c>
      <c r="D1" s="391"/>
      <c r="E1" s="391"/>
      <c r="F1" s="391"/>
    </row>
    <row r="2" spans="1:6" ht="18.75">
      <c r="A2" s="399" t="str">
        <f>'THÔNG TIN CHUNG'!B20</f>
        <v>CÔNG AN HUYỆN KON RẪY</v>
      </c>
      <c r="B2" s="399"/>
      <c r="C2" s="393" t="s">
        <v>201</v>
      </c>
      <c r="D2" s="393"/>
      <c r="E2" s="393"/>
      <c r="F2" s="393"/>
    </row>
    <row r="3" spans="1:6" ht="18.75">
      <c r="A3" s="55"/>
      <c r="B3" s="57"/>
      <c r="C3" s="390"/>
      <c r="D3" s="390"/>
      <c r="E3" s="390"/>
      <c r="F3" s="390"/>
    </row>
    <row r="4" spans="1:6" ht="18.75">
      <c r="A4" s="55"/>
      <c r="B4" s="57"/>
      <c r="C4" s="394" t="str">
        <f>'THÔNG TIN CHUNG'!C4:F4</f>
        <v>Kon Rẫy, ngày …. tháng …. năm 202..</v>
      </c>
      <c r="D4" s="394"/>
      <c r="E4" s="394"/>
      <c r="F4" s="394"/>
    </row>
    <row r="5" spans="1:6" ht="18.75">
      <c r="A5" s="55"/>
      <c r="B5" s="57"/>
      <c r="C5" s="390"/>
      <c r="D5" s="390"/>
      <c r="E5" s="390"/>
      <c r="F5" s="390"/>
    </row>
    <row r="6" spans="1:6" ht="44.25" customHeight="1">
      <c r="A6" s="399" t="s">
        <v>277</v>
      </c>
      <c r="B6" s="399"/>
      <c r="C6" s="399"/>
      <c r="D6" s="399"/>
      <c r="E6" s="399"/>
      <c r="F6" s="399"/>
    </row>
    <row r="7" spans="1:6" ht="18.75">
      <c r="A7" s="406" t="s">
        <v>9</v>
      </c>
      <c r="B7" s="406" t="s">
        <v>287</v>
      </c>
      <c r="C7" s="408" t="s">
        <v>272</v>
      </c>
      <c r="D7" s="409"/>
      <c r="E7" s="410"/>
      <c r="F7" s="415" t="s">
        <v>275</v>
      </c>
    </row>
    <row r="8" spans="1:6" ht="46.5" customHeight="1">
      <c r="A8" s="407"/>
      <c r="B8" s="407"/>
      <c r="C8" s="60" t="s">
        <v>273</v>
      </c>
      <c r="D8" s="59" t="s">
        <v>274</v>
      </c>
      <c r="E8" s="59" t="s">
        <v>276</v>
      </c>
      <c r="F8" s="415"/>
    </row>
    <row r="9" spans="1:6" s="18" customFormat="1" ht="31.5">
      <c r="A9" s="11">
        <v>1</v>
      </c>
      <c r="B9" s="51" t="s">
        <v>278</v>
      </c>
      <c r="C9" s="89">
        <v>237</v>
      </c>
      <c r="D9" s="84"/>
      <c r="E9" s="412" t="s">
        <v>279</v>
      </c>
      <c r="F9" s="89">
        <f>+C9</f>
        <v>237</v>
      </c>
    </row>
    <row r="10" spans="1:6" s="18" customFormat="1" ht="51.75" customHeight="1">
      <c r="A10" s="11">
        <v>2</v>
      </c>
      <c r="B10" s="51" t="s">
        <v>280</v>
      </c>
      <c r="C10" s="89">
        <v>33</v>
      </c>
      <c r="D10" s="86"/>
      <c r="E10" s="413"/>
      <c r="F10" s="89">
        <f>+C10</f>
        <v>33</v>
      </c>
    </row>
    <row r="11" spans="1:6" s="18" customFormat="1" ht="50.25" customHeight="1">
      <c r="A11" s="11">
        <v>3</v>
      </c>
      <c r="B11" s="53" t="s">
        <v>281</v>
      </c>
      <c r="C11" s="89">
        <v>1</v>
      </c>
      <c r="D11" s="87"/>
      <c r="E11" s="414"/>
      <c r="F11" s="89">
        <f>+C11</f>
        <v>1</v>
      </c>
    </row>
    <row r="12" spans="1:6" s="18" customFormat="1" ht="47.25">
      <c r="A12" s="11">
        <v>4</v>
      </c>
      <c r="B12" s="51" t="s">
        <v>282</v>
      </c>
      <c r="C12" s="89">
        <v>0</v>
      </c>
      <c r="D12" s="89">
        <v>7</v>
      </c>
      <c r="E12" s="97" t="s">
        <v>283</v>
      </c>
      <c r="F12" s="89">
        <f>+C12</f>
        <v>0</v>
      </c>
    </row>
    <row r="13" spans="1:7" ht="18.75">
      <c r="A13" s="408" t="s">
        <v>269</v>
      </c>
      <c r="B13" s="410"/>
      <c r="C13" s="82"/>
      <c r="D13" s="82"/>
      <c r="E13" s="82"/>
      <c r="F13" s="360">
        <f>+SUM(F9:F12)</f>
        <v>271</v>
      </c>
      <c r="G13" s="361"/>
    </row>
    <row r="14" spans="1:5" ht="7.5" customHeight="1">
      <c r="A14" s="90"/>
      <c r="B14" s="90"/>
      <c r="C14" s="91"/>
      <c r="D14" s="91"/>
      <c r="E14" s="91"/>
    </row>
    <row r="15" spans="1:6" ht="117" customHeight="1">
      <c r="A15" s="62"/>
      <c r="B15" s="67" t="str">
        <f>A1</f>
        <v>UBND HUYỆN</v>
      </c>
      <c r="C15" s="404" t="str">
        <f>A2</f>
        <v>CÔNG AN HUYỆN KON RẪY</v>
      </c>
      <c r="D15" s="404"/>
      <c r="E15" s="404"/>
      <c r="F15" s="404"/>
    </row>
  </sheetData>
  <sheetProtection/>
  <mergeCells count="15">
    <mergeCell ref="C1:F1"/>
    <mergeCell ref="C2:F2"/>
    <mergeCell ref="C4:F4"/>
    <mergeCell ref="A1:B1"/>
    <mergeCell ref="A2:B2"/>
    <mergeCell ref="F7:F8"/>
    <mergeCell ref="A6:F6"/>
    <mergeCell ref="C3:F3"/>
    <mergeCell ref="C5:F5"/>
    <mergeCell ref="C15:F15"/>
    <mergeCell ref="C7:E7"/>
    <mergeCell ref="E9:E11"/>
    <mergeCell ref="A13:B13"/>
    <mergeCell ref="A7:A8"/>
    <mergeCell ref="B7:B8"/>
  </mergeCells>
  <printOptions/>
  <pageMargins left="0.984251968503937" right="0.5905511811023622" top="0.5905511811023622" bottom="0.5905511811023622" header="0.31496062992125984" footer="0.31496062992125984"/>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G18"/>
  <sheetViews>
    <sheetView view="pageBreakPreview" zoomScale="115" zoomScaleSheetLayoutView="115" workbookViewId="0" topLeftCell="A4">
      <selection activeCell="F16" sqref="F16"/>
    </sheetView>
  </sheetViews>
  <sheetFormatPr defaultColWidth="8.88671875" defaultRowHeight="18.75"/>
  <cols>
    <col min="1" max="1" width="2.99609375" style="0" bestFit="1" customWidth="1"/>
    <col min="2" max="2" width="24.6640625" style="0" customWidth="1"/>
    <col min="3" max="5" width="7.88671875" style="0" customWidth="1"/>
    <col min="6" max="6" width="9.10546875" style="0" customWidth="1"/>
    <col min="7" max="7" width="8.99609375" style="0" customWidth="1"/>
  </cols>
  <sheetData>
    <row r="1" spans="1:7" ht="18.75">
      <c r="A1" s="390" t="str">
        <f>'THÔNG TIN CHUNG'!A1:B1</f>
        <v>UBND HUYỆN</v>
      </c>
      <c r="B1" s="390"/>
      <c r="C1" s="391" t="s">
        <v>200</v>
      </c>
      <c r="D1" s="391"/>
      <c r="E1" s="391"/>
      <c r="F1" s="391"/>
      <c r="G1" s="391"/>
    </row>
    <row r="2" spans="1:7" ht="18.75">
      <c r="A2" s="417"/>
      <c r="B2" s="417"/>
      <c r="C2" s="393" t="s">
        <v>201</v>
      </c>
      <c r="D2" s="393"/>
      <c r="E2" s="393"/>
      <c r="F2" s="393"/>
      <c r="G2" s="393"/>
    </row>
    <row r="3" spans="1:5" ht="18.75">
      <c r="A3" s="55"/>
      <c r="B3" s="57"/>
      <c r="C3" s="57"/>
      <c r="D3" s="57"/>
      <c r="E3" s="57"/>
    </row>
    <row r="4" spans="1:7" ht="18.75">
      <c r="A4" s="55"/>
      <c r="B4" s="57"/>
      <c r="C4" s="394" t="str">
        <f>'THÔNG TIN CHUNG'!C4:F4</f>
        <v>Kon Rẫy, ngày …. tháng …. năm 202..</v>
      </c>
      <c r="D4" s="394"/>
      <c r="E4" s="394"/>
      <c r="F4" s="394"/>
      <c r="G4" s="394"/>
    </row>
    <row r="5" spans="1:5" ht="5.25" customHeight="1">
      <c r="A5" s="55"/>
      <c r="B5" s="57"/>
      <c r="C5" s="57"/>
      <c r="D5" s="57"/>
      <c r="E5" s="57"/>
    </row>
    <row r="6" spans="1:7" ht="44.25" customHeight="1">
      <c r="A6" s="399" t="s">
        <v>292</v>
      </c>
      <c r="B6" s="399"/>
      <c r="C6" s="399"/>
      <c r="D6" s="399"/>
      <c r="E6" s="399"/>
      <c r="F6" s="399"/>
      <c r="G6" s="399"/>
    </row>
    <row r="7" spans="1:7" ht="94.5">
      <c r="A7" s="59" t="s">
        <v>9</v>
      </c>
      <c r="B7" s="59" t="s">
        <v>258</v>
      </c>
      <c r="C7" s="59" t="s">
        <v>267</v>
      </c>
      <c r="D7" s="59" t="s">
        <v>288</v>
      </c>
      <c r="E7" s="59" t="s">
        <v>289</v>
      </c>
      <c r="F7" s="59" t="s">
        <v>290</v>
      </c>
      <c r="G7" s="99" t="s">
        <v>291</v>
      </c>
    </row>
    <row r="8" spans="1:7" s="18" customFormat="1" ht="18.75">
      <c r="A8" s="60" t="s">
        <v>1</v>
      </c>
      <c r="B8" s="81" t="s">
        <v>259</v>
      </c>
      <c r="C8" s="84"/>
      <c r="D8" s="84"/>
      <c r="E8" s="84"/>
      <c r="F8" s="93"/>
      <c r="G8" s="93"/>
    </row>
    <row r="9" spans="1:7" s="18" customFormat="1" ht="18.75">
      <c r="A9" s="11">
        <v>1</v>
      </c>
      <c r="B9" s="31" t="s">
        <v>260</v>
      </c>
      <c r="C9" s="267">
        <v>136</v>
      </c>
      <c r="D9" s="267">
        <v>109</v>
      </c>
      <c r="E9" s="271">
        <f aca="true" t="shared" si="0" ref="E9:E14">+D9/C9%</f>
        <v>80.1470588235294</v>
      </c>
      <c r="F9" s="366">
        <v>10521</v>
      </c>
      <c r="G9" s="362"/>
    </row>
    <row r="10" spans="1:7" s="18" customFormat="1" ht="18.75">
      <c r="A10" s="11">
        <v>2</v>
      </c>
      <c r="B10" s="31" t="s">
        <v>261</v>
      </c>
      <c r="C10" s="267">
        <v>447</v>
      </c>
      <c r="D10" s="267">
        <v>374</v>
      </c>
      <c r="E10" s="271">
        <f t="shared" si="0"/>
        <v>83.668903803132</v>
      </c>
      <c r="F10" s="366">
        <v>31142</v>
      </c>
      <c r="G10" s="362"/>
    </row>
    <row r="11" spans="1:7" s="18" customFormat="1" ht="18.75">
      <c r="A11" s="11">
        <v>3</v>
      </c>
      <c r="B11" s="31" t="s">
        <v>262</v>
      </c>
      <c r="C11" s="267">
        <v>152</v>
      </c>
      <c r="D11" s="267">
        <v>114</v>
      </c>
      <c r="E11" s="271">
        <f t="shared" si="0"/>
        <v>75</v>
      </c>
      <c r="F11" s="366">
        <v>7615</v>
      </c>
      <c r="G11" s="362"/>
    </row>
    <row r="12" spans="1:7" ht="18.75">
      <c r="A12" s="11">
        <v>4</v>
      </c>
      <c r="B12" s="31" t="s">
        <v>264</v>
      </c>
      <c r="C12" s="267">
        <v>187</v>
      </c>
      <c r="D12" s="267">
        <v>177</v>
      </c>
      <c r="E12" s="271">
        <f t="shared" si="0"/>
        <v>94.65240641711229</v>
      </c>
      <c r="F12" s="366">
        <v>16712</v>
      </c>
      <c r="G12" s="362"/>
    </row>
    <row r="13" spans="1:7" ht="18.75">
      <c r="A13" s="60" t="s">
        <v>3</v>
      </c>
      <c r="B13" s="81" t="s">
        <v>263</v>
      </c>
      <c r="C13" s="263"/>
      <c r="D13" s="263"/>
      <c r="E13" s="271"/>
      <c r="F13" s="367"/>
      <c r="G13" s="268"/>
    </row>
    <row r="14" spans="1:7" ht="18.75">
      <c r="A14" s="11">
        <v>1</v>
      </c>
      <c r="B14" s="31" t="s">
        <v>265</v>
      </c>
      <c r="C14" s="267">
        <v>164</v>
      </c>
      <c r="D14" s="267">
        <v>141</v>
      </c>
      <c r="E14" s="271">
        <f t="shared" si="0"/>
        <v>85.97560975609757</v>
      </c>
      <c r="F14" s="366">
        <v>12554</v>
      </c>
      <c r="G14" s="267"/>
    </row>
    <row r="15" spans="1:7" ht="18.75">
      <c r="A15" s="11">
        <v>2</v>
      </c>
      <c r="B15" s="31" t="s">
        <v>266</v>
      </c>
      <c r="C15" s="267">
        <v>256</v>
      </c>
      <c r="D15" s="267">
        <v>242</v>
      </c>
      <c r="E15" s="271">
        <f>+D15/C15%</f>
        <v>94.53125</v>
      </c>
      <c r="F15" s="366">
        <v>21177</v>
      </c>
      <c r="G15" s="267"/>
    </row>
    <row r="16" spans="1:7" ht="18.75">
      <c r="A16" s="411" t="s">
        <v>269</v>
      </c>
      <c r="B16" s="411"/>
      <c r="C16" s="269">
        <f>SUM(C9:C15)</f>
        <v>1342</v>
      </c>
      <c r="D16" s="269">
        <f>SUM(D9:D15)</f>
        <v>1157</v>
      </c>
      <c r="E16" s="270">
        <f>+D16/C16%</f>
        <v>86.21460506706408</v>
      </c>
      <c r="F16" s="269">
        <f>SUM(F9:F15)</f>
        <v>99721</v>
      </c>
      <c r="G16" s="270"/>
    </row>
    <row r="17" spans="1:7" ht="18.75">
      <c r="A17" s="90"/>
      <c r="B17" s="90"/>
      <c r="G17" s="361"/>
    </row>
    <row r="18" spans="1:7" ht="114" customHeight="1">
      <c r="A18" s="62"/>
      <c r="B18" s="238" t="str">
        <f>A1</f>
        <v>UBND HUYỆN</v>
      </c>
      <c r="C18" s="416" t="s">
        <v>511</v>
      </c>
      <c r="D18" s="416"/>
      <c r="E18" s="416"/>
      <c r="F18" s="404" t="s">
        <v>512</v>
      </c>
      <c r="G18" s="404"/>
    </row>
  </sheetData>
  <sheetProtection/>
  <mergeCells count="9">
    <mergeCell ref="C18:E18"/>
    <mergeCell ref="F18:G18"/>
    <mergeCell ref="C2:G2"/>
    <mergeCell ref="C1:G1"/>
    <mergeCell ref="C4:G4"/>
    <mergeCell ref="A6:G6"/>
    <mergeCell ref="A16:B16"/>
    <mergeCell ref="A1:B1"/>
    <mergeCell ref="A2:B2"/>
  </mergeCells>
  <printOptions/>
  <pageMargins left="0.984251968503937" right="0.5905511811023623" top="0.5905511811023623" bottom="0.5905511811023623" header="0.31496062992125984" footer="0.31496062992125984"/>
  <pageSetup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dimension ref="A1:D30"/>
  <sheetViews>
    <sheetView view="pageBreakPreview" zoomScale="70" zoomScaleSheetLayoutView="70" zoomScalePageLayoutView="0" workbookViewId="0" topLeftCell="A1">
      <selection activeCell="D14" sqref="D14"/>
    </sheetView>
  </sheetViews>
  <sheetFormatPr defaultColWidth="8.88671875" defaultRowHeight="18.75"/>
  <cols>
    <col min="1" max="1" width="2.99609375" style="0" bestFit="1" customWidth="1"/>
    <col min="2" max="2" width="33.77734375" style="0" customWidth="1"/>
    <col min="3" max="4" width="19.6640625" style="0" customWidth="1"/>
  </cols>
  <sheetData>
    <row r="1" spans="1:4" ht="18.75">
      <c r="A1" s="390" t="str">
        <f>'THÔNG TIN CHUNG'!A1:B1</f>
        <v>UBND HUYỆN</v>
      </c>
      <c r="B1" s="390"/>
      <c r="C1" s="391" t="s">
        <v>200</v>
      </c>
      <c r="D1" s="391"/>
    </row>
    <row r="2" spans="1:4" ht="18.75">
      <c r="A2" s="399" t="str">
        <f>'THÔNG TIN CHUNG'!B24</f>
        <v>PHÒNG TÀI NGUYÊN - MÔI TRƯỜNG</v>
      </c>
      <c r="B2" s="399"/>
      <c r="C2" s="393" t="s">
        <v>201</v>
      </c>
      <c r="D2" s="393"/>
    </row>
    <row r="3" spans="1:4" ht="18.75">
      <c r="A3" s="55"/>
      <c r="B3" s="57"/>
      <c r="C3" s="57"/>
      <c r="D3" s="57"/>
    </row>
    <row r="4" spans="1:4" ht="18.75">
      <c r="A4" s="55"/>
      <c r="B4" s="57"/>
      <c r="C4" s="394" t="str">
        <f>'THÔNG TIN CHUNG'!C4:F4</f>
        <v>Kon Rẫy, ngày …. tháng …. năm 202..</v>
      </c>
      <c r="D4" s="394"/>
    </row>
    <row r="5" spans="1:4" ht="18.75">
      <c r="A5" s="55"/>
      <c r="B5" s="57"/>
      <c r="C5" s="57"/>
      <c r="D5" s="57"/>
    </row>
    <row r="6" spans="1:4" ht="39" customHeight="1">
      <c r="A6" s="418" t="s">
        <v>305</v>
      </c>
      <c r="B6" s="418"/>
      <c r="C6" s="418"/>
      <c r="D6" s="418"/>
    </row>
    <row r="7" spans="1:4" ht="18.75">
      <c r="A7" s="59" t="s">
        <v>9</v>
      </c>
      <c r="B7" s="59" t="s">
        <v>293</v>
      </c>
      <c r="C7" s="59" t="s">
        <v>302</v>
      </c>
      <c r="D7" s="59" t="s">
        <v>271</v>
      </c>
    </row>
    <row r="8" spans="1:4" ht="30.75" customHeight="1">
      <c r="A8" s="59"/>
      <c r="B8" s="59" t="s">
        <v>301</v>
      </c>
      <c r="C8" s="245">
        <v>517.96</v>
      </c>
      <c r="D8" s="84">
        <f>+C8/$C$8%</f>
        <v>100</v>
      </c>
    </row>
    <row r="9" spans="1:4" ht="18.75">
      <c r="A9" s="60" t="s">
        <v>26</v>
      </c>
      <c r="B9" s="81" t="s">
        <v>298</v>
      </c>
      <c r="C9" s="247">
        <f>+C10+C17</f>
        <v>191.5225</v>
      </c>
      <c r="D9" s="209">
        <f>+C9/$C$8%</f>
        <v>36.97631091203954</v>
      </c>
    </row>
    <row r="10" spans="1:4" s="88" customFormat="1" ht="18.75">
      <c r="A10" s="60" t="s">
        <v>1</v>
      </c>
      <c r="B10" s="81" t="s">
        <v>294</v>
      </c>
      <c r="C10" s="247">
        <f>+C11+C14+C15+C16</f>
        <v>146.62</v>
      </c>
      <c r="D10" s="209">
        <f aca="true" t="shared" si="0" ref="D10:D28">+C10/$C$8%</f>
        <v>28.307205189589926</v>
      </c>
    </row>
    <row r="11" spans="1:4" ht="18.75">
      <c r="A11" s="11">
        <v>1</v>
      </c>
      <c r="B11" s="31" t="s">
        <v>553</v>
      </c>
      <c r="C11" s="246">
        <f>+C12+C13</f>
        <v>103.45</v>
      </c>
      <c r="D11" s="209">
        <f t="shared" si="0"/>
        <v>19.97258475557958</v>
      </c>
    </row>
    <row r="12" spans="1:4" s="179" customFormat="1" ht="18.75">
      <c r="A12" s="249" t="s">
        <v>296</v>
      </c>
      <c r="B12" s="250" t="s">
        <v>295</v>
      </c>
      <c r="C12" s="251">
        <v>100.05</v>
      </c>
      <c r="D12" s="252">
        <f t="shared" si="0"/>
        <v>19.31616341030195</v>
      </c>
    </row>
    <row r="13" spans="1:4" s="179" customFormat="1" ht="31.5">
      <c r="A13" s="249" t="s">
        <v>296</v>
      </c>
      <c r="B13" s="253" t="s">
        <v>555</v>
      </c>
      <c r="C13" s="251">
        <v>3.4</v>
      </c>
      <c r="D13" s="252">
        <f t="shared" si="0"/>
        <v>0.6564213452776275</v>
      </c>
    </row>
    <row r="14" spans="1:4" ht="18.75">
      <c r="A14" s="11">
        <v>2</v>
      </c>
      <c r="B14" s="31" t="s">
        <v>303</v>
      </c>
      <c r="C14" s="246">
        <v>9.3</v>
      </c>
      <c r="D14" s="209">
        <f t="shared" si="0"/>
        <v>1.7955054444358638</v>
      </c>
    </row>
    <row r="15" spans="1:4" ht="18.75">
      <c r="A15" s="100">
        <v>4</v>
      </c>
      <c r="B15" s="31" t="s">
        <v>299</v>
      </c>
      <c r="C15" s="246">
        <v>11.73</v>
      </c>
      <c r="D15" s="209">
        <f t="shared" si="0"/>
        <v>2.264653641207815</v>
      </c>
    </row>
    <row r="16" spans="1:4" ht="18.75">
      <c r="A16" s="100">
        <v>5</v>
      </c>
      <c r="B16" s="31" t="s">
        <v>554</v>
      </c>
      <c r="C16" s="246">
        <v>22.14</v>
      </c>
      <c r="D16" s="209">
        <f t="shared" si="0"/>
        <v>4.2744613483666685</v>
      </c>
    </row>
    <row r="17" spans="1:4" ht="18.75">
      <c r="A17" s="60" t="s">
        <v>3</v>
      </c>
      <c r="B17" s="81" t="s">
        <v>297</v>
      </c>
      <c r="C17" s="247">
        <f>+C18+C19+C20+C21</f>
        <v>44.9025</v>
      </c>
      <c r="D17" s="206">
        <f t="shared" si="0"/>
        <v>8.66910572244961</v>
      </c>
    </row>
    <row r="18" spans="1:4" ht="18.75">
      <c r="A18" s="11">
        <v>1</v>
      </c>
      <c r="B18" s="51" t="s">
        <v>552</v>
      </c>
      <c r="C18" s="244">
        <f>131038/10000</f>
        <v>13.1038</v>
      </c>
      <c r="D18" s="209">
        <f t="shared" si="0"/>
        <v>2.5298864777202867</v>
      </c>
    </row>
    <row r="19" spans="1:4" ht="18.75">
      <c r="A19" s="11">
        <v>2</v>
      </c>
      <c r="B19" s="31" t="s">
        <v>300</v>
      </c>
      <c r="C19" s="244">
        <v>1.1</v>
      </c>
      <c r="D19" s="209">
        <f t="shared" si="0"/>
        <v>0.21237161170746774</v>
      </c>
    </row>
    <row r="20" spans="1:4" ht="31.5">
      <c r="A20" s="11">
        <v>3</v>
      </c>
      <c r="B20" s="51" t="s">
        <v>333</v>
      </c>
      <c r="C20" s="246">
        <f>+(17971+60216)/10000</f>
        <v>7.8187</v>
      </c>
      <c r="D20" s="209">
        <f t="shared" si="0"/>
        <v>1.5095181095065253</v>
      </c>
    </row>
    <row r="21" spans="1:4" ht="18.75">
      <c r="A21" s="11">
        <v>4</v>
      </c>
      <c r="B21" s="51" t="s">
        <v>556</v>
      </c>
      <c r="C21" s="244">
        <v>22.88</v>
      </c>
      <c r="D21" s="209">
        <f t="shared" si="0"/>
        <v>4.4173295235153285</v>
      </c>
    </row>
    <row r="22" spans="1:4" s="88" customFormat="1" ht="18.75">
      <c r="A22" s="60" t="s">
        <v>27</v>
      </c>
      <c r="B22" s="98" t="s">
        <v>304</v>
      </c>
      <c r="C22" s="248">
        <f>+C23+C27+C28</f>
        <v>326.43919999999997</v>
      </c>
      <c r="D22" s="206">
        <f t="shared" si="0"/>
        <v>63.02401729863308</v>
      </c>
    </row>
    <row r="23" spans="1:4" s="88" customFormat="1" ht="18.75">
      <c r="A23" s="60" t="s">
        <v>1</v>
      </c>
      <c r="B23" s="98" t="s">
        <v>560</v>
      </c>
      <c r="C23" s="248">
        <f>+C24+C25+C26</f>
        <v>255.4792</v>
      </c>
      <c r="D23" s="206">
        <f t="shared" si="0"/>
        <v>49.3241176924859</v>
      </c>
    </row>
    <row r="24" spans="1:4" s="18" customFormat="1" ht="18.75">
      <c r="A24" s="11">
        <v>1</v>
      </c>
      <c r="B24" s="51" t="s">
        <v>557</v>
      </c>
      <c r="C24" s="244">
        <v>241.97</v>
      </c>
      <c r="D24" s="209">
        <f t="shared" si="0"/>
        <v>46.71596262259634</v>
      </c>
    </row>
    <row r="25" spans="1:4" s="18" customFormat="1" ht="18.75">
      <c r="A25" s="11">
        <v>2</v>
      </c>
      <c r="B25" s="51" t="s">
        <v>558</v>
      </c>
      <c r="C25" s="244">
        <f>103692/10000</f>
        <v>10.3692</v>
      </c>
      <c r="D25" s="209">
        <f t="shared" si="0"/>
        <v>2.001930651015522</v>
      </c>
    </row>
    <row r="26" spans="1:4" s="18" customFormat="1" ht="18.75">
      <c r="A26" s="11">
        <v>3</v>
      </c>
      <c r="B26" s="51" t="s">
        <v>559</v>
      </c>
      <c r="C26" s="244">
        <v>3.14</v>
      </c>
      <c r="D26" s="209">
        <f t="shared" si="0"/>
        <v>0.6062244188740443</v>
      </c>
    </row>
    <row r="27" spans="1:4" s="88" customFormat="1" ht="18.75">
      <c r="A27" s="60" t="s">
        <v>3</v>
      </c>
      <c r="B27" s="98" t="s">
        <v>306</v>
      </c>
      <c r="C27" s="248">
        <v>10.13</v>
      </c>
      <c r="D27" s="206">
        <f t="shared" si="0"/>
        <v>1.9557494787242258</v>
      </c>
    </row>
    <row r="28" spans="1:4" s="88" customFormat="1" ht="18.75">
      <c r="A28" s="60" t="s">
        <v>4</v>
      </c>
      <c r="B28" s="98" t="s">
        <v>307</v>
      </c>
      <c r="C28" s="248">
        <v>60.83</v>
      </c>
      <c r="D28" s="206">
        <f t="shared" si="0"/>
        <v>11.744150127422966</v>
      </c>
    </row>
    <row r="29" spans="1:3" ht="18.75">
      <c r="A29" s="90"/>
      <c r="B29" s="90"/>
      <c r="C29" s="254"/>
    </row>
    <row r="30" spans="1:4" ht="84.75" customHeight="1">
      <c r="A30" s="62"/>
      <c r="B30" s="67" t="str">
        <f>A1</f>
        <v>UBND HUYỆN</v>
      </c>
      <c r="C30" s="404" t="str">
        <f>A2</f>
        <v>PHÒNG TÀI NGUYÊN - MÔI TRƯỜNG</v>
      </c>
      <c r="D30" s="404"/>
    </row>
  </sheetData>
  <sheetProtection/>
  <mergeCells count="7">
    <mergeCell ref="C30:D30"/>
    <mergeCell ref="A1:B1"/>
    <mergeCell ref="C1:D1"/>
    <mergeCell ref="A2:B2"/>
    <mergeCell ref="C2:D2"/>
    <mergeCell ref="C4:D4"/>
    <mergeCell ref="A6:D6"/>
  </mergeCells>
  <printOptions/>
  <pageMargins left="0.7" right="0.7" top="0.75" bottom="0.75" header="0.3" footer="0.3"/>
  <pageSetup horizontalDpi="600" verticalDpi="600" orientation="portrait" scale="83" r:id="rId1"/>
</worksheet>
</file>

<file path=xl/worksheets/sheet9.xml><?xml version="1.0" encoding="utf-8"?>
<worksheet xmlns="http://schemas.openxmlformats.org/spreadsheetml/2006/main" xmlns:r="http://schemas.openxmlformats.org/officeDocument/2006/relationships">
  <dimension ref="A1:D16"/>
  <sheetViews>
    <sheetView view="pageBreakPreview" zoomScale="145" zoomScaleSheetLayoutView="145" zoomScalePageLayoutView="0" workbookViewId="0" topLeftCell="A16">
      <selection activeCell="C7" sqref="C7"/>
    </sheetView>
  </sheetViews>
  <sheetFormatPr defaultColWidth="8.88671875" defaultRowHeight="18.75"/>
  <cols>
    <col min="1" max="1" width="4.77734375" style="0" customWidth="1"/>
    <col min="2" max="2" width="26.21484375" style="0" customWidth="1"/>
    <col min="3" max="4" width="19.6640625" style="0" customWidth="1"/>
  </cols>
  <sheetData>
    <row r="1" spans="1:4" ht="18.75">
      <c r="A1" s="390" t="s">
        <v>618</v>
      </c>
      <c r="B1" s="390"/>
      <c r="C1" s="391" t="s">
        <v>200</v>
      </c>
      <c r="D1" s="391"/>
    </row>
    <row r="2" spans="1:4" ht="18.75">
      <c r="A2" s="419" t="s">
        <v>585</v>
      </c>
      <c r="B2" s="399"/>
      <c r="C2" s="393" t="s">
        <v>201</v>
      </c>
      <c r="D2" s="393"/>
    </row>
    <row r="3" spans="1:4" ht="18.75">
      <c r="A3" s="55"/>
      <c r="B3" s="57"/>
      <c r="C3" s="57"/>
      <c r="D3" s="57"/>
    </row>
    <row r="4" spans="1:4" ht="18.75">
      <c r="A4" s="55"/>
      <c r="B4" s="57"/>
      <c r="C4" s="394" t="str">
        <f>'THÔNG TIN CHUNG'!C4:F4</f>
        <v>Kon Rẫy, ngày …. tháng …. năm 202..</v>
      </c>
      <c r="D4" s="394"/>
    </row>
    <row r="5" spans="1:4" ht="18.75">
      <c r="A5" s="55"/>
      <c r="B5" s="57"/>
      <c r="C5" s="57"/>
      <c r="D5" s="57"/>
    </row>
    <row r="6" spans="1:4" ht="39" customHeight="1">
      <c r="A6" s="418" t="s">
        <v>313</v>
      </c>
      <c r="B6" s="418"/>
      <c r="C6" s="418"/>
      <c r="D6" s="418"/>
    </row>
    <row r="7" spans="1:4" ht="18.75">
      <c r="A7" s="59" t="s">
        <v>9</v>
      </c>
      <c r="B7" s="59" t="s">
        <v>308</v>
      </c>
      <c r="C7" s="59" t="s">
        <v>309</v>
      </c>
      <c r="D7" s="59" t="s">
        <v>310</v>
      </c>
    </row>
    <row r="8" spans="1:4" s="88" customFormat="1" ht="18.75">
      <c r="A8" s="60" t="s">
        <v>1</v>
      </c>
      <c r="B8" s="81" t="s">
        <v>311</v>
      </c>
      <c r="C8" s="213">
        <f>+SUM(C9:C10)</f>
        <v>85</v>
      </c>
      <c r="D8" s="83"/>
    </row>
    <row r="9" spans="1:4" ht="31.5">
      <c r="A9" s="11">
        <v>1</v>
      </c>
      <c r="B9" s="31" t="s">
        <v>450</v>
      </c>
      <c r="C9" s="214">
        <v>85</v>
      </c>
      <c r="D9" s="51" t="s">
        <v>548</v>
      </c>
    </row>
    <row r="10" spans="1:4" ht="18.75">
      <c r="A10" s="11"/>
      <c r="B10" s="31"/>
      <c r="C10" s="170"/>
      <c r="D10" s="89"/>
    </row>
    <row r="11" spans="1:4" s="88" customFormat="1" ht="18.75">
      <c r="A11" s="101" t="s">
        <v>3</v>
      </c>
      <c r="B11" s="98" t="s">
        <v>312</v>
      </c>
      <c r="C11" s="171"/>
      <c r="D11" s="85"/>
    </row>
    <row r="12" spans="1:4" ht="31.5">
      <c r="A12" s="100">
        <v>1</v>
      </c>
      <c r="B12" s="51" t="s">
        <v>549</v>
      </c>
      <c r="C12" s="170"/>
      <c r="D12" s="243" t="s">
        <v>538</v>
      </c>
    </row>
    <row r="13" spans="1:4" ht="18.75">
      <c r="A13" s="11"/>
      <c r="B13" s="51"/>
      <c r="C13" s="170"/>
      <c r="D13" s="89"/>
    </row>
    <row r="14" spans="1:4" ht="18.75">
      <c r="A14" s="11"/>
      <c r="B14" s="51"/>
      <c r="C14" s="170"/>
      <c r="D14" s="89"/>
    </row>
    <row r="15" spans="1:2" ht="18.75">
      <c r="A15" s="90"/>
      <c r="B15" s="90"/>
    </row>
    <row r="16" spans="1:4" ht="123" customHeight="1">
      <c r="A16" s="62"/>
      <c r="B16" s="67" t="str">
        <f>A1</f>
        <v>SỞ Y TẾ </v>
      </c>
      <c r="C16" s="404" t="str">
        <f>A2</f>
        <v>TRUNG TÂM Y TẾ</v>
      </c>
      <c r="D16" s="404"/>
    </row>
  </sheetData>
  <sheetProtection/>
  <mergeCells count="7">
    <mergeCell ref="C16:D16"/>
    <mergeCell ref="A1:B1"/>
    <mergeCell ref="C1:D1"/>
    <mergeCell ref="A2:B2"/>
    <mergeCell ref="C2:D2"/>
    <mergeCell ref="C4:D4"/>
    <mergeCell ref="A6:D6"/>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CUONG</cp:lastModifiedBy>
  <cp:lastPrinted>2023-09-27T08:13:31Z</cp:lastPrinted>
  <dcterms:created xsi:type="dcterms:W3CDTF">2016-04-07T07:23:40Z</dcterms:created>
  <dcterms:modified xsi:type="dcterms:W3CDTF">2023-09-28T02:19:09Z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