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9200" windowHeight="7575" tabRatio="726"/>
  </bookViews>
  <sheets>
    <sheet name="Ước năm 2022" sheetId="41" r:id="rId1"/>
    <sheet name="zAVlCQg4" sheetId="9" state="hidden" r:id="rId2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>#REF!</definedName>
    <definedName name="_CON2" localSheetId="1">#REF!</definedName>
    <definedName name="_CON2">#REF!</definedName>
    <definedName name="_Fill" localSheetId="1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1">#REF!</definedName>
    <definedName name="_lap1">#REF!</definedName>
    <definedName name="_lap2" localSheetId="1">#REF!</definedName>
    <definedName name="_lap2">#REF!</definedName>
    <definedName name="_NET2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>#REF!</definedName>
    <definedName name="BOQ" localSheetId="1">#REF!</definedName>
    <definedName name="BOQ">#REF!</definedName>
    <definedName name="Bust">zAVlCQg4!$C$31</definedName>
    <definedName name="BVCISUMMARY" localSheetId="1">#REF!</definedName>
    <definedName name="BVCISUMMARY">#REF!</definedName>
    <definedName name="cap" localSheetId="1">#REF!</definedName>
    <definedName name="cap">#REF!</definedName>
    <definedName name="cap0.7" localSheetId="1">#REF!</definedName>
    <definedName name="cap0.7">#REF!</definedName>
    <definedName name="Category_All" localSheetId="1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L" localSheetId="1">#REF!</definedName>
    <definedName name="CL">#REF!</definedName>
    <definedName name="COMMON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ST_EQ" localSheetId="1">#REF!</definedName>
    <definedName name="CONST_EQ">#REF!</definedName>
    <definedName name="Continue">zAVlCQg4!$C$9</definedName>
    <definedName name="COVER" localSheetId="1">#REF!</definedName>
    <definedName name="COVER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" localSheetId="1">#REF!</definedName>
    <definedName name="CT">#REF!</definedName>
    <definedName name="ctdn9697" localSheetId="1">#REF!</definedName>
    <definedName name="ctdn9697">#REF!</definedName>
    <definedName name="CURRENCY" localSheetId="1">#REF!</definedName>
    <definedName name="CURRENCY">#REF!</definedName>
    <definedName name="D_7101A_B" localSheetId="1">#REF!</definedName>
    <definedName name="D_7101A_B">#REF!</definedName>
    <definedName name="DG" localSheetId="1">#REF!</definedName>
    <definedName name="DG">#REF!</definedName>
    <definedName name="dobt" localSheetId="1">#REF!</definedName>
    <definedName name="dobt">#REF!</definedName>
    <definedName name="Document_array" localSheetId="1">{"ÿÿÿÿÿ","BC Tong ket nam 2008 &amp; KH nam 2009.xls","BC thang 12 nam 2008.xls"}</definedName>
    <definedName name="Documents_array">zAVlCQg4!$B$1:$B$16</definedName>
    <definedName name="DSUMDATA" localSheetId="1">#REF!</definedName>
    <definedName name="DSUMDATA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FACTOR" localSheetId="1">#REF!</definedName>
    <definedName name="FACTOR">#REF!</definedName>
    <definedName name="Hello">zAVlCQg4!$A$15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K" localSheetId="1">#REF!</definedName>
    <definedName name="K">#REF!</definedName>
    <definedName name="KVC" localSheetId="1">#REF!</definedName>
    <definedName name="KVC">#REF!</definedName>
    <definedName name="L" localSheetId="1">#REF!</definedName>
    <definedName name="L">#REF!</definedName>
    <definedName name="lVC" localSheetId="1">#REF!</definedName>
    <definedName name="lVC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Ccap0.7" localSheetId="1">#REF!</definedName>
    <definedName name="NCcap0.7">#REF!</definedName>
    <definedName name="NCcap1" localSheetId="1">#REF!</definedName>
    <definedName name="NCcap1">#REF!</definedName>
    <definedName name="NET" localSheetId="1">#REF!</definedName>
    <definedName name="NET">#REF!</definedName>
    <definedName name="NET_1">#REF!</definedName>
    <definedName name="NET_ANA" localSheetId="1">#REF!</definedName>
    <definedName name="NET_ANA">#REF!</definedName>
    <definedName name="NET_ANA_1">#REF!</definedName>
    <definedName name="NET_ANA_2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_xlnm.Print_Titles" localSheetId="0">'Ước năm 2022'!$3:$4</definedName>
    <definedName name="Print_Titles_MI" localSheetId="1">#REF!</definedName>
    <definedName name="Print_Titles_MI">#REF!</definedName>
    <definedName name="PRINTA">#REF!</definedName>
    <definedName name="PRINTB">#REF!</definedName>
    <definedName name="PRINTC">#REF!</definedName>
    <definedName name="PROPOSAL" localSheetId="1">#REF!</definedName>
    <definedName name="PROPOSAL">#REF!</definedName>
    <definedName name="RECOUT">#N/A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SCH" localSheetId="1">#REF!</definedName>
    <definedName name="SCH">#REF!</definedName>
    <definedName name="SIZE" localSheetId="1">#REF!</definedName>
    <definedName name="SIZE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>#REF!</definedName>
    <definedName name="TITAN">#REF!</definedName>
    <definedName name="TPLRP" localSheetId="1">#REF!</definedName>
    <definedName name="TPLRP">#REF!</definedName>
    <definedName name="ttbt" localSheetId="1">#REF!</definedName>
    <definedName name="ttbt">#REF!</definedName>
    <definedName name="THI">#REF!</definedName>
    <definedName name="TRADE2" localSheetId="1">#REF!</definedName>
    <definedName name="TRADE2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ccot" localSheetId="1">#REF!</definedName>
    <definedName name="vccot">#REF!</definedName>
    <definedName name="vctb" localSheetId="1">#REF!</definedName>
    <definedName name="vctb">#REF!</definedName>
    <definedName name="Vlcap0.7" localSheetId="1">#REF!</definedName>
    <definedName name="Vlcap0.7">#REF!</definedName>
    <definedName name="VLcap1" localSheetId="1">#REF!</definedName>
    <definedName name="VLcap1">#REF!</definedName>
  </definedNames>
  <calcPr calcId="162913"/>
</workbook>
</file>

<file path=xl/calcChain.xml><?xml version="1.0" encoding="utf-8"?>
<calcChain xmlns="http://schemas.openxmlformats.org/spreadsheetml/2006/main">
  <c r="M119" i="41" l="1"/>
  <c r="O116" i="41" l="1"/>
  <c r="O117" i="41"/>
  <c r="O120" i="41"/>
  <c r="O121" i="41"/>
  <c r="O124" i="41"/>
  <c r="O131" i="41"/>
  <c r="O133" i="41"/>
  <c r="O134" i="41"/>
  <c r="O135" i="41"/>
  <c r="O136" i="41"/>
  <c r="O138" i="41"/>
  <c r="O144" i="41"/>
  <c r="P26" i="41"/>
  <c r="P30" i="41"/>
  <c r="P34" i="41"/>
  <c r="P41" i="41"/>
  <c r="P45" i="41"/>
  <c r="P54" i="41"/>
  <c r="P59" i="41"/>
  <c r="P63" i="41"/>
  <c r="P78" i="41"/>
  <c r="P116" i="41"/>
  <c r="P117" i="41"/>
  <c r="P120" i="41"/>
  <c r="P121" i="41"/>
  <c r="P124" i="41"/>
  <c r="P131" i="41"/>
  <c r="P133" i="41"/>
  <c r="P134" i="41"/>
  <c r="P135" i="41"/>
  <c r="P136" i="41"/>
  <c r="P138" i="41"/>
  <c r="P144" i="41"/>
  <c r="P152" i="41"/>
  <c r="L60" i="41" l="1"/>
  <c r="J151" i="41"/>
  <c r="I151" i="41"/>
  <c r="H151" i="41"/>
  <c r="N150" i="41"/>
  <c r="M150" i="41"/>
  <c r="L150" i="41"/>
  <c r="K150" i="41"/>
  <c r="J150" i="41"/>
  <c r="H150" i="41"/>
  <c r="L149" i="41"/>
  <c r="N149" i="41"/>
  <c r="M149" i="41"/>
  <c r="J149" i="41"/>
  <c r="N148" i="41"/>
  <c r="M148" i="41"/>
  <c r="L148" i="41"/>
  <c r="K148" i="41"/>
  <c r="J148" i="41"/>
  <c r="H148" i="41"/>
  <c r="N151" i="41"/>
  <c r="M151" i="41"/>
  <c r="L151" i="41"/>
  <c r="K158" i="41"/>
  <c r="H149" i="41" l="1"/>
  <c r="M147" i="41"/>
  <c r="J147" i="41"/>
  <c r="H147" i="41"/>
  <c r="F139" i="41" l="1"/>
  <c r="O139" i="41" l="1"/>
  <c r="P139" i="41"/>
  <c r="G139" i="41"/>
  <c r="J55" i="41" l="1"/>
  <c r="K55" i="41"/>
  <c r="F111" i="41" l="1"/>
  <c r="E140" i="41"/>
  <c r="P111" i="41" l="1"/>
  <c r="O111" i="41"/>
  <c r="G148" i="41"/>
  <c r="H85" i="41"/>
  <c r="N79" i="41"/>
  <c r="M79" i="41"/>
  <c r="K79" i="41"/>
  <c r="L79" i="41"/>
  <c r="J140" i="41"/>
  <c r="K140" i="41"/>
  <c r="L140" i="41"/>
  <c r="M140" i="41"/>
  <c r="N140" i="41"/>
  <c r="H140" i="41"/>
  <c r="I140" i="41"/>
  <c r="G151" i="41"/>
  <c r="G149" i="41"/>
  <c r="G121" i="41"/>
  <c r="G120" i="41"/>
  <c r="L132" i="41" l="1"/>
  <c r="J132" i="41"/>
  <c r="I122" i="41" l="1"/>
  <c r="J122" i="41"/>
  <c r="K122" i="41"/>
  <c r="L122" i="41"/>
  <c r="M122" i="41"/>
  <c r="N122" i="41"/>
  <c r="H122" i="41"/>
  <c r="I67" i="41"/>
  <c r="I132" i="41"/>
  <c r="M132" i="41" l="1"/>
  <c r="K132" i="41" l="1"/>
  <c r="H132" i="41"/>
  <c r="E137" i="41"/>
  <c r="I137" i="41"/>
  <c r="J137" i="41"/>
  <c r="K137" i="41"/>
  <c r="L137" i="41"/>
  <c r="M137" i="41"/>
  <c r="N137" i="41"/>
  <c r="H137" i="41"/>
  <c r="N132" i="41"/>
  <c r="D132" i="41" l="1"/>
  <c r="N127" i="41"/>
  <c r="N126" i="41" s="1"/>
  <c r="M127" i="41"/>
  <c r="M126" i="41" s="1"/>
  <c r="L127" i="41"/>
  <c r="L126" i="41" s="1"/>
  <c r="K127" i="41"/>
  <c r="K126" i="41" s="1"/>
  <c r="J127" i="41"/>
  <c r="J126" i="41" s="1"/>
  <c r="I127" i="41"/>
  <c r="I126" i="41" s="1"/>
  <c r="H127" i="41"/>
  <c r="H126" i="41" s="1"/>
  <c r="E127" i="41"/>
  <c r="D127" i="41"/>
  <c r="F130" i="41"/>
  <c r="F129" i="41"/>
  <c r="F128" i="41"/>
  <c r="G130" i="41" l="1"/>
  <c r="O130" i="41"/>
  <c r="P130" i="41"/>
  <c r="G129" i="41"/>
  <c r="G127" i="41" s="1"/>
  <c r="P129" i="41"/>
  <c r="O129" i="41"/>
  <c r="G128" i="41"/>
  <c r="O128" i="41"/>
  <c r="P128" i="41"/>
  <c r="D126" i="41"/>
  <c r="D125" i="41" s="1"/>
  <c r="F127" i="41"/>
  <c r="F132" i="41"/>
  <c r="O127" i="41" l="1"/>
  <c r="P127" i="41"/>
  <c r="O132" i="41"/>
  <c r="P132" i="41"/>
  <c r="G132" i="41"/>
  <c r="I106" i="41"/>
  <c r="J106" i="41"/>
  <c r="K106" i="41"/>
  <c r="L106" i="41"/>
  <c r="M106" i="41"/>
  <c r="N106" i="41"/>
  <c r="K90" i="41"/>
  <c r="D77" i="41"/>
  <c r="G126" i="41" l="1"/>
  <c r="J125" i="41"/>
  <c r="N125" i="41"/>
  <c r="G124" i="41"/>
  <c r="D119" i="41"/>
  <c r="D118" i="41" s="1"/>
  <c r="I110" i="41"/>
  <c r="J110" i="41"/>
  <c r="K110" i="41"/>
  <c r="L110" i="41"/>
  <c r="M110" i="41"/>
  <c r="N110" i="41"/>
  <c r="H110" i="41"/>
  <c r="D110" i="41"/>
  <c r="D109" i="41" s="1"/>
  <c r="D105" i="41" s="1"/>
  <c r="G117" i="41"/>
  <c r="G116" i="41"/>
  <c r="F113" i="41"/>
  <c r="F112" i="41"/>
  <c r="H114" i="41"/>
  <c r="I114" i="41"/>
  <c r="J114" i="41"/>
  <c r="K114" i="41"/>
  <c r="L114" i="41"/>
  <c r="M114" i="41"/>
  <c r="N114" i="41"/>
  <c r="E114" i="41"/>
  <c r="F115" i="41"/>
  <c r="O115" i="41" l="1"/>
  <c r="P115" i="41"/>
  <c r="G113" i="41"/>
  <c r="O113" i="41"/>
  <c r="P113" i="41"/>
  <c r="G112" i="41"/>
  <c r="O112" i="41"/>
  <c r="P112" i="41"/>
  <c r="G115" i="41"/>
  <c r="G114" i="41" s="1"/>
  <c r="M125" i="41"/>
  <c r="L125" i="41"/>
  <c r="F114" i="41"/>
  <c r="H109" i="41"/>
  <c r="I109" i="41"/>
  <c r="F110" i="41"/>
  <c r="G111" i="41"/>
  <c r="E110" i="41"/>
  <c r="E109" i="41" s="1"/>
  <c r="E105" i="41" s="1"/>
  <c r="D94" i="41"/>
  <c r="G82" i="41"/>
  <c r="G67" i="41"/>
  <c r="G76" i="41"/>
  <c r="G71" i="41"/>
  <c r="G66" i="41"/>
  <c r="G62" i="41"/>
  <c r="G58" i="41"/>
  <c r="G53" i="41"/>
  <c r="G20" i="41"/>
  <c r="O114" i="41" l="1"/>
  <c r="P114" i="41"/>
  <c r="O110" i="41"/>
  <c r="P110" i="41"/>
  <c r="J109" i="41"/>
  <c r="J105" i="41" s="1"/>
  <c r="F109" i="41"/>
  <c r="G110" i="41"/>
  <c r="O109" i="41" l="1"/>
  <c r="P109" i="41"/>
  <c r="G109" i="41"/>
  <c r="K109" i="41"/>
  <c r="L109" i="41" l="1"/>
  <c r="M109" i="41" l="1"/>
  <c r="N109" i="41"/>
  <c r="F143" i="41" l="1"/>
  <c r="F142" i="41"/>
  <c r="F141" i="41"/>
  <c r="J44" i="41"/>
  <c r="N102" i="41"/>
  <c r="I102" i="41"/>
  <c r="P141" i="41" l="1"/>
  <c r="O141" i="41"/>
  <c r="O142" i="41"/>
  <c r="P142" i="41"/>
  <c r="O143" i="41"/>
  <c r="P143" i="41"/>
  <c r="F137" i="41"/>
  <c r="P137" i="41" l="1"/>
  <c r="O137" i="41"/>
  <c r="G137" i="41"/>
  <c r="F98" i="41"/>
  <c r="O98" i="41" l="1"/>
  <c r="P98" i="41"/>
  <c r="G98" i="41"/>
  <c r="F119" i="41"/>
  <c r="N118" i="41"/>
  <c r="L118" i="41"/>
  <c r="K118" i="41"/>
  <c r="J118" i="41"/>
  <c r="I118" i="41"/>
  <c r="H118" i="41"/>
  <c r="P119" i="41" l="1"/>
  <c r="O119" i="41"/>
  <c r="F118" i="41"/>
  <c r="Q118" i="41" s="1"/>
  <c r="G119" i="41"/>
  <c r="G118" i="41" s="1"/>
  <c r="M118" i="41"/>
  <c r="F123" i="41"/>
  <c r="O118" i="41" l="1"/>
  <c r="P118" i="41"/>
  <c r="G123" i="41"/>
  <c r="G122" i="41" s="1"/>
  <c r="P123" i="41"/>
  <c r="F122" i="41"/>
  <c r="O122" i="41" l="1"/>
  <c r="P122" i="41"/>
  <c r="M44" i="41"/>
  <c r="E146" i="41"/>
  <c r="E145" i="41" s="1"/>
  <c r="E35" i="41" l="1"/>
  <c r="E23" i="41"/>
  <c r="E15" i="41" s="1"/>
  <c r="E20" i="41"/>
  <c r="L33" i="41" l="1"/>
  <c r="K87" i="41"/>
  <c r="K82" i="41"/>
  <c r="K57" i="41"/>
  <c r="K33" i="41"/>
  <c r="J21" i="41"/>
  <c r="F88" i="41" l="1"/>
  <c r="F83" i="41"/>
  <c r="F162" i="41"/>
  <c r="F159" i="41"/>
  <c r="F156" i="41"/>
  <c r="F148" i="41"/>
  <c r="F149" i="41"/>
  <c r="F150" i="41"/>
  <c r="F151" i="41"/>
  <c r="F147" i="41"/>
  <c r="F101" i="41"/>
  <c r="F96" i="41"/>
  <c r="F99" i="41"/>
  <c r="F108" i="41"/>
  <c r="F107" i="41"/>
  <c r="F104" i="41"/>
  <c r="F103" i="41"/>
  <c r="O96" i="41" l="1"/>
  <c r="P159" i="41"/>
  <c r="P107" i="41"/>
  <c r="O107" i="41"/>
  <c r="G101" i="41"/>
  <c r="O101" i="41"/>
  <c r="P101" i="41"/>
  <c r="P149" i="41"/>
  <c r="O149" i="41"/>
  <c r="G162" i="41"/>
  <c r="P162" i="41"/>
  <c r="O162" i="41"/>
  <c r="G150" i="41"/>
  <c r="G146" i="41" s="1"/>
  <c r="G145" i="41" s="1"/>
  <c r="O150" i="41"/>
  <c r="P150" i="41"/>
  <c r="G147" i="41"/>
  <c r="P147" i="41"/>
  <c r="O147" i="41"/>
  <c r="O148" i="41"/>
  <c r="P148" i="41"/>
  <c r="O83" i="41"/>
  <c r="P83" i="41"/>
  <c r="O104" i="41"/>
  <c r="P104" i="41"/>
  <c r="O108" i="41"/>
  <c r="P108" i="41"/>
  <c r="O103" i="41"/>
  <c r="P103" i="41"/>
  <c r="G99" i="41"/>
  <c r="G97" i="41" s="1"/>
  <c r="G95" i="41" s="1"/>
  <c r="P99" i="41"/>
  <c r="O99" i="41"/>
  <c r="O151" i="41"/>
  <c r="P151" i="41"/>
  <c r="P156" i="41"/>
  <c r="O88" i="41"/>
  <c r="P88" i="41"/>
  <c r="G103" i="41"/>
  <c r="G102" i="41" s="1"/>
  <c r="G100" i="41" s="1"/>
  <c r="G156" i="41"/>
  <c r="G159" i="41"/>
  <c r="G107" i="41"/>
  <c r="F106" i="41"/>
  <c r="F154" i="41"/>
  <c r="F146" i="41"/>
  <c r="F102" i="41"/>
  <c r="F97" i="41"/>
  <c r="F91" i="41"/>
  <c r="F92" i="41"/>
  <c r="F90" i="41"/>
  <c r="F80" i="41"/>
  <c r="F79" i="41"/>
  <c r="F74" i="41"/>
  <c r="F69" i="41"/>
  <c r="F64" i="41"/>
  <c r="F60" i="41"/>
  <c r="F55" i="41"/>
  <c r="F51" i="41"/>
  <c r="F46" i="41"/>
  <c r="F42" i="41"/>
  <c r="F38" i="41"/>
  <c r="F31" i="41"/>
  <c r="F27" i="41"/>
  <c r="F19" i="41"/>
  <c r="P51" i="41" l="1"/>
  <c r="O51" i="41"/>
  <c r="P55" i="41"/>
  <c r="O55" i="41"/>
  <c r="O74" i="41"/>
  <c r="P74" i="41"/>
  <c r="G92" i="41"/>
  <c r="G94" i="41" s="1"/>
  <c r="O92" i="41"/>
  <c r="P92" i="41"/>
  <c r="O146" i="41"/>
  <c r="P146" i="41"/>
  <c r="O90" i="41"/>
  <c r="P90" i="41"/>
  <c r="P19" i="41"/>
  <c r="O19" i="41"/>
  <c r="O60" i="41"/>
  <c r="P60" i="41"/>
  <c r="G91" i="41"/>
  <c r="P91" i="41"/>
  <c r="P154" i="41"/>
  <c r="O31" i="41"/>
  <c r="P31" i="41"/>
  <c r="O69" i="41"/>
  <c r="P69" i="41"/>
  <c r="O102" i="41"/>
  <c r="P102" i="41"/>
  <c r="O38" i="41"/>
  <c r="P38" i="41"/>
  <c r="O42" i="41"/>
  <c r="P42" i="41"/>
  <c r="O79" i="41"/>
  <c r="P79" i="41"/>
  <c r="O27" i="41"/>
  <c r="P27" i="41"/>
  <c r="P46" i="41"/>
  <c r="O46" i="41"/>
  <c r="O64" i="41"/>
  <c r="P64" i="41"/>
  <c r="O80" i="41"/>
  <c r="P80" i="41"/>
  <c r="O97" i="41"/>
  <c r="P97" i="41"/>
  <c r="O106" i="41"/>
  <c r="P106" i="41"/>
  <c r="G154" i="41"/>
  <c r="G27" i="41"/>
  <c r="G46" i="41"/>
  <c r="G48" i="41" s="1"/>
  <c r="G31" i="41"/>
  <c r="G33" i="41" s="1"/>
  <c r="G90" i="41"/>
  <c r="G38" i="41"/>
  <c r="G40" i="41" s="1"/>
  <c r="G42" i="41"/>
  <c r="G79" i="41"/>
  <c r="G55" i="41"/>
  <c r="G57" i="41" s="1"/>
  <c r="G49" i="41"/>
  <c r="G44" i="41"/>
  <c r="G29" i="41"/>
  <c r="G106" i="41"/>
  <c r="F105" i="41"/>
  <c r="F145" i="41"/>
  <c r="F100" i="41"/>
  <c r="F95" i="41"/>
  <c r="F67" i="41"/>
  <c r="F58" i="41"/>
  <c r="F49" i="41"/>
  <c r="F35" i="41"/>
  <c r="F23" i="41"/>
  <c r="G23" i="41" l="1"/>
  <c r="G15" i="41" s="1"/>
  <c r="O100" i="41"/>
  <c r="P100" i="41"/>
  <c r="O58" i="41"/>
  <c r="P58" i="41"/>
  <c r="P145" i="41"/>
  <c r="O145" i="41"/>
  <c r="O23" i="41"/>
  <c r="P23" i="41"/>
  <c r="O105" i="41"/>
  <c r="P105" i="41"/>
  <c r="P49" i="41"/>
  <c r="O67" i="41"/>
  <c r="P67" i="41"/>
  <c r="O35" i="41"/>
  <c r="P35" i="41"/>
  <c r="P95" i="41"/>
  <c r="O95" i="41"/>
  <c r="G25" i="41"/>
  <c r="G37" i="41"/>
  <c r="G35" i="41"/>
  <c r="G13" i="41" s="1"/>
  <c r="G105" i="41"/>
  <c r="G24" i="41"/>
  <c r="G17" i="41"/>
  <c r="G16" i="41" s="1"/>
  <c r="F15" i="41"/>
  <c r="O15" i="41" l="1"/>
  <c r="P15" i="41"/>
  <c r="G36" i="41"/>
  <c r="F13" i="41"/>
  <c r="I100" i="41" l="1"/>
  <c r="J102" i="41"/>
  <c r="J100" i="41" s="1"/>
  <c r="K102" i="41"/>
  <c r="K100" i="41" s="1"/>
  <c r="L102" i="41"/>
  <c r="L100" i="41" s="1"/>
  <c r="M102" i="41"/>
  <c r="M100" i="41" s="1"/>
  <c r="H102" i="41"/>
  <c r="H100" i="41" s="1"/>
  <c r="D13" i="41"/>
  <c r="D12" i="41" s="1"/>
  <c r="H125" i="41"/>
  <c r="I125" i="41"/>
  <c r="K125" i="41"/>
  <c r="K49" i="41"/>
  <c r="J49" i="41"/>
  <c r="N35" i="41"/>
  <c r="D155" i="41"/>
  <c r="D153" i="41" s="1"/>
  <c r="H97" i="41"/>
  <c r="H95" i="41" s="1"/>
  <c r="H77" i="41" s="1"/>
  <c r="I97" i="41"/>
  <c r="I95" i="41" s="1"/>
  <c r="J97" i="41"/>
  <c r="J95" i="41" s="1"/>
  <c r="K97" i="41"/>
  <c r="K95" i="41" s="1"/>
  <c r="L97" i="41"/>
  <c r="L95" i="41" s="1"/>
  <c r="M97" i="41"/>
  <c r="M95" i="41" s="1"/>
  <c r="N97" i="41"/>
  <c r="N95" i="41" s="1"/>
  <c r="D96" i="41"/>
  <c r="P96" i="41" s="1"/>
  <c r="H106" i="41"/>
  <c r="H105" i="41" s="1"/>
  <c r="I105" i="41"/>
  <c r="K105" i="41"/>
  <c r="L105" i="41"/>
  <c r="M105" i="41"/>
  <c r="N105" i="41"/>
  <c r="L87" i="41"/>
  <c r="M87" i="41"/>
  <c r="H49" i="41"/>
  <c r="E7" i="41"/>
  <c r="E6" i="41"/>
  <c r="L29" i="41"/>
  <c r="M29" i="41"/>
  <c r="K94" i="41"/>
  <c r="N146" i="41"/>
  <c r="N145" i="41" s="1"/>
  <c r="J146" i="41"/>
  <c r="J145" i="41" s="1"/>
  <c r="N87" i="41"/>
  <c r="J85" i="41"/>
  <c r="H87" i="41"/>
  <c r="I71" i="41"/>
  <c r="H67" i="41"/>
  <c r="J67" i="41"/>
  <c r="K67" i="41"/>
  <c r="L67" i="41"/>
  <c r="N67" i="41"/>
  <c r="L21" i="41"/>
  <c r="I21" i="41"/>
  <c r="K21" i="41"/>
  <c r="M21" i="41"/>
  <c r="N21" i="41"/>
  <c r="H29" i="41"/>
  <c r="J29" i="41"/>
  <c r="N29" i="41"/>
  <c r="I23" i="41"/>
  <c r="I15" i="41" s="1"/>
  <c r="H33" i="41"/>
  <c r="I33" i="41"/>
  <c r="J33" i="41"/>
  <c r="N33" i="41"/>
  <c r="M40" i="41"/>
  <c r="H44" i="41"/>
  <c r="K44" i="41"/>
  <c r="I35" i="41"/>
  <c r="J48" i="41"/>
  <c r="N48" i="41"/>
  <c r="H48" i="41"/>
  <c r="H53" i="41"/>
  <c r="I53" i="41"/>
  <c r="J53" i="41"/>
  <c r="K53" i="41"/>
  <c r="L53" i="41"/>
  <c r="M53" i="41"/>
  <c r="N53" i="41"/>
  <c r="H57" i="41"/>
  <c r="L49" i="41"/>
  <c r="M49" i="41"/>
  <c r="N57" i="41"/>
  <c r="J57" i="41"/>
  <c r="I62" i="41"/>
  <c r="L62" i="41"/>
  <c r="H62" i="41"/>
  <c r="J62" i="41"/>
  <c r="K62" i="41"/>
  <c r="N62" i="41"/>
  <c r="H58" i="41"/>
  <c r="J66" i="41"/>
  <c r="K66" i="41"/>
  <c r="L66" i="41"/>
  <c r="M66" i="41"/>
  <c r="N58" i="41"/>
  <c r="H71" i="41"/>
  <c r="J71" i="41"/>
  <c r="K71" i="41"/>
  <c r="L71" i="41"/>
  <c r="M71" i="41"/>
  <c r="N71" i="41"/>
  <c r="J72" i="41"/>
  <c r="K72" i="41"/>
  <c r="M72" i="41"/>
  <c r="N72" i="41"/>
  <c r="M75" i="41"/>
  <c r="M76" i="41" s="1"/>
  <c r="H76" i="41"/>
  <c r="I76" i="41"/>
  <c r="J76" i="41"/>
  <c r="K76" i="41"/>
  <c r="L76" i="41"/>
  <c r="N76" i="41"/>
  <c r="I82" i="41"/>
  <c r="L82" i="41"/>
  <c r="M82" i="41"/>
  <c r="N82" i="41"/>
  <c r="E77" i="41"/>
  <c r="E91" i="41"/>
  <c r="O91" i="41" s="1"/>
  <c r="J94" i="41"/>
  <c r="L94" i="41"/>
  <c r="H94" i="41"/>
  <c r="N94" i="41"/>
  <c r="H154" i="41"/>
  <c r="I158" i="41"/>
  <c r="J154" i="41"/>
  <c r="L154" i="41"/>
  <c r="M158" i="41"/>
  <c r="N154" i="41"/>
  <c r="E159" i="41"/>
  <c r="O159" i="41" s="1"/>
  <c r="H161" i="41"/>
  <c r="I161" i="41"/>
  <c r="J161" i="41"/>
  <c r="K161" i="41"/>
  <c r="L161" i="41"/>
  <c r="M161" i="41"/>
  <c r="N161" i="41"/>
  <c r="N158" i="41"/>
  <c r="I154" i="41"/>
  <c r="K154" i="41"/>
  <c r="M154" i="41"/>
  <c r="E156" i="41"/>
  <c r="O156" i="41" s="1"/>
  <c r="H82" i="41"/>
  <c r="H158" i="41"/>
  <c r="J158" i="41"/>
  <c r="L158" i="41"/>
  <c r="N66" i="41"/>
  <c r="M57" i="41"/>
  <c r="M58" i="41"/>
  <c r="N49" i="41"/>
  <c r="M23" i="41"/>
  <c r="M15" i="41" s="1"/>
  <c r="K58" i="41"/>
  <c r="M33" i="41"/>
  <c r="M62" i="41"/>
  <c r="N23" i="41"/>
  <c r="N15" i="41" s="1"/>
  <c r="H23" i="41"/>
  <c r="L23" i="41"/>
  <c r="L15" i="41" s="1"/>
  <c r="H66" i="41"/>
  <c r="L58" i="41"/>
  <c r="I29" i="41"/>
  <c r="L57" i="41"/>
  <c r="K23" i="41"/>
  <c r="K15" i="41" s="1"/>
  <c r="K29" i="41"/>
  <c r="M67" i="41"/>
  <c r="I94" i="41"/>
  <c r="L48" i="41"/>
  <c r="K35" i="41"/>
  <c r="M146" i="41"/>
  <c r="M145" i="41" s="1"/>
  <c r="K48" i="41"/>
  <c r="M48" i="41"/>
  <c r="K40" i="41"/>
  <c r="M35" i="41"/>
  <c r="J40" i="41"/>
  <c r="I44" i="41"/>
  <c r="I49" i="41"/>
  <c r="M94" i="41"/>
  <c r="H146" i="41"/>
  <c r="H145" i="41" s="1"/>
  <c r="J35" i="41"/>
  <c r="J23" i="41"/>
  <c r="J15" i="41" s="1"/>
  <c r="L44" i="41"/>
  <c r="I66" i="41"/>
  <c r="I58" i="41"/>
  <c r="H35" i="41"/>
  <c r="H21" i="41"/>
  <c r="I87" i="41"/>
  <c r="I146" i="41"/>
  <c r="I145" i="41" s="1"/>
  <c r="L35" i="41"/>
  <c r="L77" i="41" l="1"/>
  <c r="P13" i="41"/>
  <c r="J77" i="41"/>
  <c r="I77" i="41"/>
  <c r="K77" i="41"/>
  <c r="M77" i="41"/>
  <c r="F85" i="41"/>
  <c r="F140" i="41"/>
  <c r="H37" i="41"/>
  <c r="H36" i="41" s="1"/>
  <c r="J87" i="41"/>
  <c r="F87" i="41" s="1"/>
  <c r="F40" i="41"/>
  <c r="J155" i="41"/>
  <c r="J153" i="41" s="1"/>
  <c r="F71" i="41"/>
  <c r="M155" i="41"/>
  <c r="M153" i="41" s="1"/>
  <c r="F72" i="41"/>
  <c r="P72" i="41" s="1"/>
  <c r="N25" i="41"/>
  <c r="N24" i="41" s="1"/>
  <c r="N155" i="41"/>
  <c r="N153" i="41" s="1"/>
  <c r="E157" i="41"/>
  <c r="F53" i="41"/>
  <c r="M25" i="41"/>
  <c r="M24" i="41" s="1"/>
  <c r="F94" i="41"/>
  <c r="F76" i="41"/>
  <c r="L37" i="41"/>
  <c r="L36" i="41" s="1"/>
  <c r="L25" i="41"/>
  <c r="L24" i="41" s="1"/>
  <c r="K155" i="41"/>
  <c r="K153" i="41" s="1"/>
  <c r="K25" i="41"/>
  <c r="K24" i="41" s="1"/>
  <c r="F161" i="41"/>
  <c r="J37" i="41"/>
  <c r="J36" i="41" s="1"/>
  <c r="J25" i="41"/>
  <c r="J17" i="41" s="1"/>
  <c r="F21" i="41"/>
  <c r="I155" i="41"/>
  <c r="I153" i="41" s="1"/>
  <c r="F158" i="41"/>
  <c r="F82" i="41"/>
  <c r="F66" i="41"/>
  <c r="F62" i="41"/>
  <c r="F33" i="41"/>
  <c r="F29" i="41"/>
  <c r="F57" i="41"/>
  <c r="H25" i="41"/>
  <c r="H17" i="41" s="1"/>
  <c r="H10" i="41" s="1"/>
  <c r="I48" i="41"/>
  <c r="F48" i="41" s="1"/>
  <c r="J13" i="41"/>
  <c r="J12" i="41" s="1"/>
  <c r="E39" i="41"/>
  <c r="H15" i="41"/>
  <c r="H13" i="41" s="1"/>
  <c r="H12" i="41" s="1"/>
  <c r="N13" i="41"/>
  <c r="L155" i="41"/>
  <c r="L153" i="41" s="1"/>
  <c r="N44" i="41"/>
  <c r="N37" i="41" s="1"/>
  <c r="N36" i="41" s="1"/>
  <c r="K37" i="41"/>
  <c r="K36" i="41" s="1"/>
  <c r="K13" i="41"/>
  <c r="M13" i="41"/>
  <c r="M12" i="41" s="1"/>
  <c r="H155" i="41"/>
  <c r="H153" i="41" s="1"/>
  <c r="E72" i="41"/>
  <c r="E49" i="41"/>
  <c r="O49" i="41" s="1"/>
  <c r="M37" i="41"/>
  <c r="M36" i="41" s="1"/>
  <c r="L146" i="41"/>
  <c r="L145" i="41" s="1"/>
  <c r="K146" i="41"/>
  <c r="K145" i="41" s="1"/>
  <c r="E125" i="41"/>
  <c r="L13" i="41"/>
  <c r="L12" i="41" s="1"/>
  <c r="E154" i="41"/>
  <c r="O154" i="41" s="1"/>
  <c r="I13" i="41"/>
  <c r="I25" i="41"/>
  <c r="N100" i="41"/>
  <c r="N77" i="41" s="1"/>
  <c r="I12" i="41" l="1"/>
  <c r="O94" i="41"/>
  <c r="P94" i="41"/>
  <c r="K12" i="41"/>
  <c r="F47" i="41"/>
  <c r="P48" i="41"/>
  <c r="O48" i="41"/>
  <c r="O33" i="41"/>
  <c r="P33" i="41"/>
  <c r="G158" i="41"/>
  <c r="P158" i="41"/>
  <c r="O158" i="41"/>
  <c r="O140" i="41"/>
  <c r="P140" i="41"/>
  <c r="O82" i="41"/>
  <c r="P82" i="41"/>
  <c r="P71" i="41"/>
  <c r="O71" i="41"/>
  <c r="O62" i="41"/>
  <c r="P62" i="41"/>
  <c r="G161" i="41"/>
  <c r="P161" i="41"/>
  <c r="O161" i="41"/>
  <c r="P53" i="41"/>
  <c r="O53" i="41"/>
  <c r="P40" i="41"/>
  <c r="O40" i="41"/>
  <c r="O85" i="41"/>
  <c r="P85" i="41"/>
  <c r="P29" i="41"/>
  <c r="O29" i="41"/>
  <c r="O57" i="41"/>
  <c r="P57" i="41"/>
  <c r="P66" i="41"/>
  <c r="O66" i="41"/>
  <c r="O21" i="41"/>
  <c r="P21" i="41"/>
  <c r="P76" i="41"/>
  <c r="O76" i="41"/>
  <c r="O87" i="41"/>
  <c r="P87" i="41"/>
  <c r="N12" i="41"/>
  <c r="G140" i="41"/>
  <c r="G125" i="41" s="1"/>
  <c r="F77" i="41"/>
  <c r="G85" i="41"/>
  <c r="F126" i="41"/>
  <c r="F32" i="41"/>
  <c r="F86" i="41"/>
  <c r="F65" i="41"/>
  <c r="F61" i="41"/>
  <c r="F28" i="41"/>
  <c r="F70" i="41"/>
  <c r="F39" i="41"/>
  <c r="I37" i="41"/>
  <c r="I36" i="41" s="1"/>
  <c r="F93" i="41"/>
  <c r="F160" i="41"/>
  <c r="F75" i="41"/>
  <c r="F52" i="41"/>
  <c r="M17" i="41"/>
  <c r="M9" i="41" s="1"/>
  <c r="M8" i="41" s="1"/>
  <c r="L17" i="41"/>
  <c r="L10" i="41" s="1"/>
  <c r="N17" i="41"/>
  <c r="N16" i="41" s="1"/>
  <c r="H24" i="41"/>
  <c r="F44" i="41"/>
  <c r="F155" i="41"/>
  <c r="K17" i="41"/>
  <c r="K9" i="41" s="1"/>
  <c r="K8" i="41" s="1"/>
  <c r="F157" i="41"/>
  <c r="J24" i="41"/>
  <c r="F20" i="41"/>
  <c r="F81" i="41"/>
  <c r="E47" i="41"/>
  <c r="F25" i="41"/>
  <c r="F56" i="41"/>
  <c r="E28" i="41"/>
  <c r="H16" i="41"/>
  <c r="E43" i="41"/>
  <c r="J9" i="41"/>
  <c r="J8" i="41" s="1"/>
  <c r="J16" i="41"/>
  <c r="J10" i="41"/>
  <c r="E32" i="41"/>
  <c r="E25" i="41"/>
  <c r="I24" i="41"/>
  <c r="I17" i="41"/>
  <c r="E36" i="41"/>
  <c r="H9" i="41"/>
  <c r="H8" i="41" s="1"/>
  <c r="P65" i="41" l="1"/>
  <c r="O65" i="41"/>
  <c r="O47" i="41"/>
  <c r="P47" i="41"/>
  <c r="O56" i="41"/>
  <c r="P56" i="41"/>
  <c r="P20" i="41"/>
  <c r="O20" i="41"/>
  <c r="G155" i="41"/>
  <c r="O155" i="41"/>
  <c r="P155" i="41"/>
  <c r="G160" i="41"/>
  <c r="O160" i="41"/>
  <c r="P160" i="41"/>
  <c r="P70" i="41"/>
  <c r="O70" i="41"/>
  <c r="P86" i="41"/>
  <c r="O86" i="41"/>
  <c r="P77" i="41"/>
  <c r="O77" i="41"/>
  <c r="P81" i="41"/>
  <c r="O81" i="41"/>
  <c r="P75" i="41"/>
  <c r="O75" i="41"/>
  <c r="P25" i="41"/>
  <c r="O25" i="41"/>
  <c r="O93" i="41"/>
  <c r="P93" i="41"/>
  <c r="P28" i="41"/>
  <c r="O28" i="41"/>
  <c r="O32" i="41"/>
  <c r="P32" i="41"/>
  <c r="O39" i="41"/>
  <c r="P39" i="41"/>
  <c r="P44" i="41"/>
  <c r="O44" i="41"/>
  <c r="G157" i="41"/>
  <c r="P157" i="41"/>
  <c r="O157" i="41"/>
  <c r="O52" i="41"/>
  <c r="P52" i="41"/>
  <c r="P61" i="41"/>
  <c r="O61" i="41"/>
  <c r="O126" i="41"/>
  <c r="P126" i="41"/>
  <c r="G77" i="41"/>
  <c r="G87" i="41"/>
  <c r="F125" i="41"/>
  <c r="F12" i="41" s="1"/>
  <c r="F43" i="41"/>
  <c r="F17" i="41"/>
  <c r="M10" i="41"/>
  <c r="M16" i="41"/>
  <c r="L9" i="41"/>
  <c r="L8" i="41" s="1"/>
  <c r="E24" i="41"/>
  <c r="E17" i="41"/>
  <c r="F37" i="41"/>
  <c r="L16" i="41"/>
  <c r="K10" i="41"/>
  <c r="N10" i="41"/>
  <c r="N9" i="41"/>
  <c r="N8" i="41" s="1"/>
  <c r="F153" i="41"/>
  <c r="K16" i="41"/>
  <c r="F24" i="41"/>
  <c r="E13" i="41"/>
  <c r="I16" i="41"/>
  <c r="I10" i="41"/>
  <c r="I9" i="41"/>
  <c r="I8" i="41" s="1"/>
  <c r="P125" i="41" l="1"/>
  <c r="O125" i="41"/>
  <c r="P24" i="41"/>
  <c r="O24" i="41"/>
  <c r="O37" i="41"/>
  <c r="P37" i="41"/>
  <c r="O17" i="41"/>
  <c r="P17" i="41"/>
  <c r="P153" i="41"/>
  <c r="O153" i="41"/>
  <c r="O43" i="41"/>
  <c r="P43" i="41"/>
  <c r="O13" i="41"/>
  <c r="E12" i="41"/>
  <c r="G153" i="41"/>
  <c r="G12" i="41"/>
  <c r="P12" i="41"/>
  <c r="F16" i="41"/>
  <c r="F10" i="41"/>
  <c r="F9" i="41"/>
  <c r="F36" i="41"/>
  <c r="E16" i="41"/>
  <c r="E9" i="41"/>
  <c r="E10" i="41"/>
  <c r="O16" i="41" l="1"/>
  <c r="P16" i="41"/>
  <c r="P36" i="41"/>
  <c r="O36" i="41"/>
  <c r="O12" i="41"/>
  <c r="E8" i="41"/>
</calcChain>
</file>

<file path=xl/sharedStrings.xml><?xml version="1.0" encoding="utf-8"?>
<sst xmlns="http://schemas.openxmlformats.org/spreadsheetml/2006/main" count="462" uniqueCount="157">
  <si>
    <t>ĐVT</t>
  </si>
  <si>
    <t>ha</t>
  </si>
  <si>
    <t>tạ/ha</t>
  </si>
  <si>
    <t xml:space="preserve"> -</t>
  </si>
  <si>
    <t>STT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</si>
  <si>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</si>
  <si>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</si>
  <si>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</si>
  <si>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</si>
  <si>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</si>
  <si>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</si>
  <si>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</si>
  <si>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</si>
  <si>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</si>
  <si>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</si>
  <si>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</si>
  <si>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</si>
  <si>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</si>
  <si>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</si>
  <si>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</si>
  <si>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</si>
  <si>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</si>
  <si>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</si>
  <si>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</si>
  <si>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</si>
  <si>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</si>
  <si>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</si>
  <si>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</si>
  <si>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</si>
  <si>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</si>
  <si>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</si>
  <si>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</si>
  <si>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</si>
  <si>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</si>
  <si>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</si>
  <si>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</si>
  <si>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</si>
  <si>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</si>
  <si>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</si>
  <si>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</si>
  <si>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</si>
  <si>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</si>
  <si>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</si>
  <si>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</si>
  <si>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</si>
  <si>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</si>
  <si>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</si>
  <si>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</si>
  <si>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</si>
  <si>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</si>
  <si>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</si>
  <si>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</si>
  <si>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</si>
  <si>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</si>
  <si>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</si>
  <si>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</si>
  <si>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</si>
  <si>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</si>
  <si>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</si>
  <si>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</si>
  <si>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</si>
  <si>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</si>
  <si>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</si>
  <si>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</si>
  <si>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</si>
  <si>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</si>
  <si>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</si>
  <si>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</si>
  <si>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</si>
  <si>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</si>
  <si>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</si>
  <si>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</si>
  <si>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</si>
  <si>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</si>
  <si>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</si>
  <si>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</si>
  <si>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</si>
  <si>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</si>
  <si>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</si>
  <si>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</si>
  <si>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</si>
  <si>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</si>
  <si>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</si>
  <si>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</si>
  <si>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</si>
  <si>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</si>
  <si>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</si>
  <si>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</si>
  <si>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</si>
  <si>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</si>
  <si>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</si>
  <si>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</si>
  <si>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</si>
  <si>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</si>
  <si>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</si>
  <si>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</si>
  <si>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</si>
  <si>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</si>
  <si>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 xml:space="preserve">  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</si>
  <si>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</si>
  <si>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</si>
  <si>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</si>
  <si>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</si>
  <si>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</si>
  <si>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</si>
  <si>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Tr. đó trồng mới</t>
  </si>
  <si>
    <t>Diện tích trồng cũ</t>
  </si>
  <si>
    <t>Sâm dây</t>
  </si>
  <si>
    <t>Đương quy</t>
  </si>
  <si>
    <t>DT trồng cũ</t>
  </si>
  <si>
    <t xml:space="preserve">Đinh lăng </t>
  </si>
  <si>
    <t>TH năm 2021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</si>
  <si>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</si>
  <si>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</si>
  <si>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</si>
  <si>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</si>
  <si>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</si>
  <si>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</si>
  <si>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Mật nhân</t>
  </si>
  <si>
    <t>Cẩu tích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</si>
  <si>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</si>
  <si>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</si>
  <si>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</si>
  <si>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</si>
  <si>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</si>
  <si>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</si>
  <si>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</si>
  <si>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</si>
  <si>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>KH năm 2022</t>
  </si>
  <si>
    <t xml:space="preserve">C.ty TNHH MTV LN Kon Rẫy </t>
  </si>
  <si>
    <t xml:space="preserve"> +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</si>
  <si>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</si>
  <si>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</si>
  <si>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</si>
  <si>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</si>
  <si>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</si>
  <si>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</si>
  <si>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</si>
  <si>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Lan Kim Tuyến</t>
  </si>
  <si>
    <t>Tr.đó: C.ty, Doanh nghiệp</t>
  </si>
  <si>
    <t>Ước TH đến 31/12/2022</t>
  </si>
  <si>
    <t>Dược liệu hàng năm</t>
  </si>
  <si>
    <t>Dược liệu khoanh nuôi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</si>
  <si>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</si>
  <si>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</si>
  <si>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</si>
  <si>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</si>
  <si>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</si>
  <si>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</si>
  <si>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DL lâu năm khác</t>
  </si>
  <si>
    <t>DL lâu năm khác (cây….)</t>
  </si>
  <si>
    <t>Tỷ lệ TH/KH</t>
  </si>
  <si>
    <t>TỔNG DT GT (I+II+VI)</t>
  </si>
  <si>
    <t>Tăng giảm so với cùng kỳ</t>
  </si>
  <si>
    <t>Ước TH năm 2022</t>
  </si>
  <si>
    <t xml:space="preserve"> TÌNH HÌNH THỰC HIỆN CHỈ TIÊU KINH TẾ - XÃ HỘI NĂM 2022</t>
  </si>
  <si>
    <t>(Kèm theo Báo cáo số          /BC-UBND ngày             /          /2022 của UBND  huyện Kon Rẫy)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</si>
</sst>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$&quot;#,##0;[Red]\-&quot;$&quot;#,##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-* #,##0\ _F_-;\-* #,##0\ _F_-;_-* &quot;-&quot;\ _F_-;_-@_-"/>
    <numFmt numFmtId="177" formatCode="_ * #,##0_ ;_ * \-#,##0_ ;_ * &quot;-&quot;_ ;_ @_ "/>
    <numFmt numFmtId="178" formatCode="0.00_)"/>
    <numFmt numFmtId="179" formatCode="\(0\)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7" fillId="0" borderId="0" applyNumberFormat="0" applyFont="0" applyFill="0" applyAlignment="0"/>
    <xf numFmtId="178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9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159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0" borderId="0" xfId="17" applyFont="1" applyFill="1"/>
    <xf numFmtId="0" fontId="25" fillId="0" borderId="0" xfId="17" applyFont="1" applyFill="1"/>
    <xf numFmtId="0" fontId="24" fillId="0" borderId="0" xfId="17" applyFont="1" applyFill="1" applyAlignment="1">
      <alignment horizontal="center" wrapText="1"/>
    </xf>
    <xf numFmtId="2" fontId="30" fillId="0" borderId="0" xfId="1" applyNumberFormat="1" applyFont="1" applyFill="1" applyBorder="1" applyAlignment="1">
      <alignment horizontal="right" wrapText="1"/>
    </xf>
    <xf numFmtId="164" fontId="29" fillId="0" borderId="0" xfId="1" applyFont="1" applyFill="1" applyBorder="1" applyAlignment="1">
      <alignment horizontal="right" wrapText="1"/>
    </xf>
    <xf numFmtId="0" fontId="31" fillId="0" borderId="0" xfId="17" applyFont="1" applyFill="1"/>
    <xf numFmtId="0" fontId="23" fillId="0" borderId="0" xfId="17" applyFont="1" applyFill="1"/>
    <xf numFmtId="0" fontId="24" fillId="0" borderId="0" xfId="17" applyFont="1" applyFill="1" applyAlignment="1">
      <alignment wrapText="1"/>
    </xf>
    <xf numFmtId="0" fontId="25" fillId="0" borderId="0" xfId="17" applyFont="1" applyFill="1" applyBorder="1"/>
    <xf numFmtId="0" fontId="24" fillId="0" borderId="0" xfId="17" applyFont="1" applyFill="1" applyAlignment="1">
      <alignment horizontal="center"/>
    </xf>
    <xf numFmtId="0" fontId="28" fillId="0" borderId="0" xfId="17" applyFont="1" applyFill="1" applyAlignment="1">
      <alignment horizontal="left" wrapText="1"/>
    </xf>
    <xf numFmtId="0" fontId="25" fillId="0" borderId="11" xfId="17" applyFont="1" applyFill="1" applyBorder="1" applyAlignment="1">
      <alignment horizontal="center" vertical="center"/>
    </xf>
    <xf numFmtId="0" fontId="25" fillId="0" borderId="11" xfId="17" applyFont="1" applyFill="1" applyBorder="1" applyAlignment="1">
      <alignment horizontal="left" vertical="center" wrapText="1"/>
    </xf>
    <xf numFmtId="0" fontId="25" fillId="0" borderId="11" xfId="17" applyFont="1" applyFill="1" applyBorder="1" applyAlignment="1">
      <alignment horizontal="center" vertical="center" wrapText="1"/>
    </xf>
    <xf numFmtId="165" fontId="25" fillId="0" borderId="11" xfId="1" applyNumberFormat="1" applyFont="1" applyFill="1" applyBorder="1"/>
    <xf numFmtId="165" fontId="25" fillId="0" borderId="11" xfId="1" applyNumberFormat="1" applyFont="1" applyFill="1" applyBorder="1" applyAlignment="1">
      <alignment horizontal="right"/>
    </xf>
    <xf numFmtId="0" fontId="25" fillId="0" borderId="12" xfId="17" applyFont="1" applyFill="1" applyBorder="1" applyAlignment="1">
      <alignment horizontal="center" vertical="center"/>
    </xf>
    <xf numFmtId="0" fontId="25" fillId="0" borderId="12" xfId="17" applyFont="1" applyFill="1" applyBorder="1" applyAlignment="1">
      <alignment horizontal="left" vertical="center" wrapText="1"/>
    </xf>
    <xf numFmtId="0" fontId="24" fillId="0" borderId="12" xfId="17" applyFont="1" applyFill="1" applyBorder="1" applyAlignment="1">
      <alignment horizontal="center" vertical="center" wrapText="1"/>
    </xf>
    <xf numFmtId="164" fontId="25" fillId="0" borderId="12" xfId="1" applyFont="1" applyFill="1" applyBorder="1"/>
    <xf numFmtId="0" fontId="25" fillId="0" borderId="15" xfId="17" applyFont="1" applyFill="1" applyBorder="1" applyAlignment="1">
      <alignment horizontal="center" vertical="center"/>
    </xf>
    <xf numFmtId="0" fontId="25" fillId="0" borderId="15" xfId="17" applyFont="1" applyFill="1" applyBorder="1" applyAlignment="1">
      <alignment horizontal="left" vertical="center" wrapText="1"/>
    </xf>
    <xf numFmtId="0" fontId="24" fillId="0" borderId="15" xfId="17" applyFont="1" applyFill="1" applyBorder="1" applyAlignment="1">
      <alignment horizontal="center" vertical="center" wrapText="1"/>
    </xf>
    <xf numFmtId="3" fontId="25" fillId="0" borderId="15" xfId="17" applyNumberFormat="1" applyFont="1" applyFill="1" applyBorder="1" applyAlignment="1">
      <alignment horizontal="right" vertical="center"/>
    </xf>
    <xf numFmtId="3" fontId="25" fillId="0" borderId="15" xfId="17" applyNumberFormat="1" applyFont="1" applyFill="1" applyBorder="1" applyAlignment="1"/>
    <xf numFmtId="0" fontId="31" fillId="0" borderId="15" xfId="17" applyFont="1" applyFill="1" applyBorder="1" applyAlignment="1">
      <alignment horizontal="left" vertical="center" wrapText="1"/>
    </xf>
    <xf numFmtId="3" fontId="25" fillId="0" borderId="15" xfId="17" applyNumberFormat="1" applyFont="1" applyFill="1" applyBorder="1"/>
    <xf numFmtId="3" fontId="31" fillId="0" borderId="15" xfId="17" applyNumberFormat="1" applyFont="1" applyFill="1" applyBorder="1" applyAlignment="1"/>
    <xf numFmtId="0" fontId="32" fillId="0" borderId="15" xfId="17" applyFont="1" applyFill="1" applyBorder="1" applyAlignment="1">
      <alignment horizontal="left" vertical="center" wrapText="1"/>
    </xf>
    <xf numFmtId="3" fontId="25" fillId="0" borderId="15" xfId="17" applyNumberFormat="1" applyFont="1" applyFill="1" applyBorder="1" applyAlignment="1">
      <alignment horizontal="center" wrapText="1"/>
    </xf>
    <xf numFmtId="3" fontId="24" fillId="0" borderId="15" xfId="17" applyNumberFormat="1" applyFont="1" applyFill="1" applyBorder="1" applyAlignment="1">
      <alignment vertical="center" wrapText="1"/>
    </xf>
    <xf numFmtId="0" fontId="24" fillId="0" borderId="15" xfId="17" applyFont="1" applyFill="1" applyBorder="1" applyAlignment="1">
      <alignment horizontal="center" vertical="center"/>
    </xf>
    <xf numFmtId="0" fontId="25" fillId="0" borderId="15" xfId="17" applyFont="1" applyFill="1" applyBorder="1" applyAlignment="1">
      <alignment horizontal="center" vertical="center" wrapText="1"/>
    </xf>
    <xf numFmtId="0" fontId="24" fillId="0" borderId="15" xfId="17" applyFont="1" applyFill="1" applyBorder="1" applyAlignment="1">
      <alignment horizontal="left" vertical="center" wrapText="1"/>
    </xf>
    <xf numFmtId="3" fontId="25" fillId="0" borderId="15" xfId="17" applyNumberFormat="1" applyFont="1" applyFill="1" applyBorder="1" applyAlignment="1">
      <alignment horizontal="right"/>
    </xf>
    <xf numFmtId="3" fontId="25" fillId="0" borderId="15" xfId="1" applyNumberFormat="1" applyFont="1" applyFill="1" applyBorder="1" applyAlignment="1">
      <alignment horizontal="right" vertical="center"/>
    </xf>
    <xf numFmtId="3" fontId="25" fillId="0" borderId="15" xfId="17" applyNumberFormat="1" applyFont="1" applyFill="1" applyBorder="1" applyAlignment="1">
      <alignment vertical="center" wrapText="1"/>
    </xf>
    <xf numFmtId="3" fontId="25" fillId="0" borderId="15" xfId="17" applyNumberFormat="1" applyFont="1" applyFill="1" applyBorder="1" applyAlignment="1">
      <alignment vertical="center"/>
    </xf>
    <xf numFmtId="3" fontId="24" fillId="0" borderId="15" xfId="17" applyNumberFormat="1" applyFont="1" applyFill="1" applyBorder="1" applyAlignment="1">
      <alignment horizontal="right"/>
    </xf>
    <xf numFmtId="3" fontId="24" fillId="0" borderId="15" xfId="17" applyNumberFormat="1" applyFont="1" applyFill="1" applyBorder="1" applyAlignment="1"/>
    <xf numFmtId="0" fontId="31" fillId="0" borderId="15" xfId="17" applyFont="1" applyFill="1" applyBorder="1" applyAlignment="1">
      <alignment horizontal="center" vertical="center"/>
    </xf>
    <xf numFmtId="3" fontId="24" fillId="0" borderId="15" xfId="17" applyNumberFormat="1" applyFont="1" applyFill="1" applyBorder="1" applyAlignment="1">
      <alignment horizontal="right" vertical="center" wrapText="1"/>
    </xf>
    <xf numFmtId="3" fontId="24" fillId="0" borderId="15" xfId="1" applyNumberFormat="1" applyFont="1" applyFill="1" applyBorder="1" applyAlignment="1"/>
    <xf numFmtId="4" fontId="24" fillId="0" borderId="15" xfId="1" applyNumberFormat="1" applyFont="1" applyFill="1" applyBorder="1" applyAlignment="1"/>
    <xf numFmtId="166" fontId="24" fillId="0" borderId="15" xfId="17" applyNumberFormat="1" applyFont="1" applyFill="1" applyBorder="1" applyAlignment="1"/>
    <xf numFmtId="3" fontId="24" fillId="0" borderId="15" xfId="1" applyNumberFormat="1" applyFont="1" applyFill="1" applyBorder="1" applyAlignment="1">
      <alignment horizontal="right" vertical="center" wrapText="1"/>
    </xf>
    <xf numFmtId="4" fontId="24" fillId="0" borderId="15" xfId="17" applyNumberFormat="1" applyFont="1" applyFill="1" applyBorder="1" applyAlignment="1"/>
    <xf numFmtId="3" fontId="25" fillId="0" borderId="15" xfId="0" applyNumberFormat="1" applyFont="1" applyFill="1" applyBorder="1"/>
    <xf numFmtId="0" fontId="23" fillId="0" borderId="15" xfId="17" applyFont="1" applyFill="1" applyBorder="1" applyAlignment="1">
      <alignment horizontal="left" vertical="center" wrapText="1"/>
    </xf>
    <xf numFmtId="3" fontId="23" fillId="0" borderId="15" xfId="0" applyNumberFormat="1" applyFont="1" applyFill="1" applyBorder="1"/>
    <xf numFmtId="3" fontId="23" fillId="0" borderId="15" xfId="17" applyNumberFormat="1" applyFont="1" applyFill="1" applyBorder="1" applyAlignment="1">
      <alignment horizontal="right" vertical="center" wrapText="1"/>
    </xf>
    <xf numFmtId="3" fontId="23" fillId="0" borderId="15" xfId="1" applyNumberFormat="1" applyFont="1" applyFill="1" applyBorder="1" applyAlignment="1">
      <alignment horizontal="right" vertical="center" wrapText="1"/>
    </xf>
    <xf numFmtId="3" fontId="31" fillId="0" borderId="15" xfId="17" applyNumberFormat="1" applyFont="1" applyFill="1" applyBorder="1" applyAlignment="1">
      <alignment horizontal="center" wrapText="1"/>
    </xf>
    <xf numFmtId="3" fontId="31" fillId="0" borderId="15" xfId="0" applyNumberFormat="1" applyFont="1" applyFill="1" applyBorder="1" applyAlignment="1">
      <alignment horizontal="right"/>
    </xf>
    <xf numFmtId="0" fontId="23" fillId="0" borderId="15" xfId="17" applyFont="1" applyFill="1" applyBorder="1" applyAlignment="1">
      <alignment horizontal="center" vertical="center"/>
    </xf>
    <xf numFmtId="0" fontId="23" fillId="0" borderId="15" xfId="17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/>
    </xf>
    <xf numFmtId="3" fontId="23" fillId="0" borderId="15" xfId="17" applyNumberFormat="1" applyFont="1" applyFill="1" applyBorder="1" applyAlignment="1"/>
    <xf numFmtId="164" fontId="23" fillId="0" borderId="15" xfId="17" applyNumberFormat="1" applyFont="1" applyFill="1" applyBorder="1" applyAlignment="1">
      <alignment horizontal="center" vertical="center" wrapText="1"/>
    </xf>
    <xf numFmtId="3" fontId="24" fillId="0" borderId="15" xfId="17" applyNumberFormat="1" applyFont="1" applyFill="1" applyBorder="1" applyAlignment="1">
      <alignment horizontal="center" wrapText="1"/>
    </xf>
    <xf numFmtId="3" fontId="24" fillId="0" borderId="15" xfId="0" applyNumberFormat="1" applyFont="1" applyFill="1" applyBorder="1"/>
    <xf numFmtId="3" fontId="31" fillId="0" borderId="15" xfId="0" applyNumberFormat="1" applyFont="1" applyFill="1" applyBorder="1"/>
    <xf numFmtId="3" fontId="24" fillId="0" borderId="15" xfId="17" applyNumberFormat="1" applyFont="1" applyFill="1" applyBorder="1" applyAlignment="1">
      <alignment horizontal="right" wrapText="1"/>
    </xf>
    <xf numFmtId="3" fontId="24" fillId="0" borderId="1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4" fontId="23" fillId="0" borderId="15" xfId="17" applyNumberFormat="1" applyFont="1" applyFill="1" applyBorder="1" applyAlignment="1">
      <alignment horizontal="center" vertical="center" wrapText="1"/>
    </xf>
    <xf numFmtId="0" fontId="31" fillId="0" borderId="15" xfId="17" applyFont="1" applyFill="1" applyBorder="1" applyAlignment="1">
      <alignment horizontal="center" vertical="center" wrapText="1"/>
    </xf>
    <xf numFmtId="3" fontId="31" fillId="0" borderId="15" xfId="17" applyNumberFormat="1" applyFont="1" applyFill="1" applyBorder="1" applyAlignment="1">
      <alignment horizontal="right" wrapText="1"/>
    </xf>
    <xf numFmtId="3" fontId="23" fillId="0" borderId="15" xfId="17" applyNumberFormat="1" applyFont="1" applyFill="1" applyBorder="1" applyAlignment="1">
      <alignment horizontal="right" wrapText="1"/>
    </xf>
    <xf numFmtId="0" fontId="24" fillId="0" borderId="15" xfId="17" quotePrefix="1" applyFont="1" applyFill="1" applyBorder="1" applyAlignment="1">
      <alignment horizontal="center" vertical="center"/>
    </xf>
    <xf numFmtId="166" fontId="23" fillId="0" borderId="15" xfId="17" applyNumberFormat="1" applyFont="1" applyFill="1" applyBorder="1" applyAlignment="1"/>
    <xf numFmtId="166" fontId="31" fillId="0" borderId="15" xfId="17" applyNumberFormat="1" applyFont="1" applyFill="1" applyBorder="1" applyAlignment="1"/>
    <xf numFmtId="0" fontId="23" fillId="0" borderId="15" xfId="17" quotePrefix="1" applyFont="1" applyFill="1" applyBorder="1" applyAlignment="1">
      <alignment horizontal="center" vertical="center"/>
    </xf>
    <xf numFmtId="4" fontId="25" fillId="0" borderId="15" xfId="17" applyNumberFormat="1" applyFont="1" applyFill="1" applyBorder="1" applyAlignment="1"/>
    <xf numFmtId="3" fontId="25" fillId="0" borderId="15" xfId="1" applyNumberFormat="1" applyFont="1" applyFill="1" applyBorder="1" applyAlignment="1">
      <alignment horizontal="center" wrapText="1"/>
    </xf>
    <xf numFmtId="3" fontId="25" fillId="0" borderId="15" xfId="1" applyNumberFormat="1" applyFont="1" applyFill="1" applyBorder="1" applyAlignment="1">
      <alignment horizontal="right" wrapText="1"/>
    </xf>
    <xf numFmtId="3" fontId="24" fillId="0" borderId="15" xfId="0" applyNumberFormat="1" applyFont="1" applyFill="1" applyBorder="1" applyAlignment="1">
      <alignment vertical="center" wrapText="1"/>
    </xf>
    <xf numFmtId="3" fontId="23" fillId="0" borderId="15" xfId="17" applyNumberFormat="1" applyFont="1" applyFill="1" applyBorder="1" applyAlignment="1">
      <alignment vertical="center" wrapText="1"/>
    </xf>
    <xf numFmtId="3" fontId="23" fillId="0" borderId="15" xfId="1" applyNumberFormat="1" applyFont="1" applyFill="1" applyBorder="1" applyAlignment="1">
      <alignment horizontal="center" wrapText="1"/>
    </xf>
    <xf numFmtId="3" fontId="24" fillId="0" borderId="15" xfId="1" applyNumberFormat="1" applyFont="1" applyFill="1" applyBorder="1" applyAlignment="1">
      <alignment horizontal="center" wrapText="1"/>
    </xf>
    <xf numFmtId="166" fontId="25" fillId="0" borderId="15" xfId="0" applyNumberFormat="1" applyFont="1" applyFill="1" applyBorder="1" applyAlignment="1">
      <alignment horizontal="right"/>
    </xf>
    <xf numFmtId="3" fontId="24" fillId="0" borderId="15" xfId="1" applyNumberFormat="1" applyFont="1" applyFill="1" applyBorder="1" applyAlignment="1">
      <alignment horizontal="right" wrapText="1"/>
    </xf>
    <xf numFmtId="3" fontId="24" fillId="0" borderId="15" xfId="1" applyNumberFormat="1" applyFont="1" applyFill="1" applyBorder="1"/>
    <xf numFmtId="0" fontId="25" fillId="0" borderId="15" xfId="17" applyFont="1" applyFill="1" applyBorder="1" applyAlignment="1">
      <alignment horizontal="center"/>
    </xf>
    <xf numFmtId="0" fontId="25" fillId="0" borderId="15" xfId="17" applyFont="1" applyFill="1" applyBorder="1" applyAlignment="1">
      <alignment horizontal="left" wrapText="1"/>
    </xf>
    <xf numFmtId="0" fontId="25" fillId="0" borderId="15" xfId="17" applyFont="1" applyFill="1" applyBorder="1" applyAlignment="1">
      <alignment horizontal="center" wrapText="1"/>
    </xf>
    <xf numFmtId="3" fontId="25" fillId="0" borderId="15" xfId="17" applyNumberFormat="1" applyFont="1" applyFill="1" applyBorder="1" applyAlignment="1">
      <alignment wrapText="1"/>
    </xf>
    <xf numFmtId="166" fontId="25" fillId="0" borderId="15" xfId="1" applyNumberFormat="1" applyFont="1" applyFill="1" applyBorder="1" applyAlignment="1">
      <alignment horizontal="right" wrapText="1"/>
    </xf>
    <xf numFmtId="3" fontId="25" fillId="0" borderId="15" xfId="1" applyNumberFormat="1" applyFont="1" applyFill="1" applyBorder="1" applyAlignment="1">
      <alignment horizontal="right"/>
    </xf>
    <xf numFmtId="0" fontId="24" fillId="0" borderId="15" xfId="17" applyFont="1" applyFill="1" applyBorder="1" applyAlignment="1">
      <alignment horizontal="center"/>
    </xf>
    <xf numFmtId="0" fontId="31" fillId="0" borderId="15" xfId="17" applyFont="1" applyFill="1" applyBorder="1" applyAlignment="1">
      <alignment horizontal="center" wrapText="1"/>
    </xf>
    <xf numFmtId="0" fontId="24" fillId="0" borderId="15" xfId="17" applyFont="1" applyFill="1" applyBorder="1" applyAlignment="1">
      <alignment horizontal="left" wrapText="1"/>
    </xf>
    <xf numFmtId="0" fontId="24" fillId="0" borderId="15" xfId="17" applyFont="1" applyFill="1" applyBorder="1" applyAlignment="1">
      <alignment horizontal="center" wrapText="1"/>
    </xf>
    <xf numFmtId="3" fontId="24" fillId="0" borderId="15" xfId="1" applyNumberFormat="1" applyFont="1" applyFill="1" applyBorder="1" applyAlignment="1">
      <alignment horizontal="right"/>
    </xf>
    <xf numFmtId="0" fontId="25" fillId="0" borderId="14" xfId="17" applyFont="1" applyFill="1" applyBorder="1" applyAlignment="1">
      <alignment horizontal="center"/>
    </xf>
    <xf numFmtId="0" fontId="25" fillId="0" borderId="14" xfId="17" applyFont="1" applyFill="1" applyBorder="1" applyAlignment="1">
      <alignment horizontal="left" wrapText="1"/>
    </xf>
    <xf numFmtId="0" fontId="25" fillId="0" borderId="14" xfId="17" applyFont="1" applyFill="1" applyBorder="1" applyAlignment="1">
      <alignment horizontal="center" wrapText="1"/>
    </xf>
    <xf numFmtId="3" fontId="25" fillId="0" borderId="14" xfId="17" applyNumberFormat="1" applyFont="1" applyFill="1" applyBorder="1"/>
    <xf numFmtId="3" fontId="25" fillId="0" borderId="14" xfId="1" applyNumberFormat="1" applyFont="1" applyFill="1" applyBorder="1" applyAlignment="1">
      <alignment horizontal="right" wrapText="1"/>
    </xf>
    <xf numFmtId="166" fontId="25" fillId="0" borderId="15" xfId="17" applyNumberFormat="1" applyFont="1" applyFill="1" applyBorder="1" applyAlignment="1"/>
    <xf numFmtId="3" fontId="25" fillId="0" borderId="15" xfId="1" applyNumberFormat="1" applyFont="1" applyFill="1" applyBorder="1"/>
    <xf numFmtId="166" fontId="31" fillId="0" borderId="15" xfId="0" applyNumberFormat="1" applyFont="1" applyFill="1" applyBorder="1"/>
    <xf numFmtId="166" fontId="31" fillId="0" borderId="15" xfId="1" applyNumberFormat="1" applyFont="1" applyFill="1" applyBorder="1" applyAlignment="1">
      <alignment horizontal="right" wrapText="1"/>
    </xf>
    <xf numFmtId="166" fontId="25" fillId="0" borderId="15" xfId="1" applyNumberFormat="1" applyFont="1" applyFill="1" applyBorder="1" applyAlignment="1">
      <alignment horizontal="right"/>
    </xf>
    <xf numFmtId="166" fontId="24" fillId="0" borderId="15" xfId="0" applyNumberFormat="1" applyFont="1" applyFill="1" applyBorder="1" applyAlignment="1">
      <alignment horizontal="right"/>
    </xf>
    <xf numFmtId="166" fontId="25" fillId="0" borderId="15" xfId="17" applyNumberFormat="1" applyFont="1" applyFill="1" applyBorder="1" applyAlignment="1">
      <alignment vertical="center" wrapText="1"/>
    </xf>
    <xf numFmtId="166" fontId="23" fillId="0" borderId="15" xfId="0" applyNumberFormat="1" applyFont="1" applyFill="1" applyBorder="1" applyAlignment="1">
      <alignment horizontal="right"/>
    </xf>
    <xf numFmtId="179" fontId="23" fillId="0" borderId="10" xfId="17" applyNumberFormat="1" applyFont="1" applyFill="1" applyBorder="1" applyAlignment="1">
      <alignment horizontal="center" vertical="center"/>
    </xf>
    <xf numFmtId="3" fontId="24" fillId="0" borderId="15" xfId="1" applyNumberFormat="1" applyFont="1" applyFill="1" applyBorder="1" applyAlignment="1">
      <alignment horizontal="right" vertical="center"/>
    </xf>
    <xf numFmtId="166" fontId="24" fillId="0" borderId="15" xfId="17" applyNumberFormat="1" applyFont="1" applyFill="1" applyBorder="1" applyAlignment="1">
      <alignment vertical="center" wrapText="1"/>
    </xf>
    <xf numFmtId="3" fontId="24" fillId="0" borderId="15" xfId="17" applyNumberFormat="1" applyFont="1" applyFill="1" applyBorder="1" applyAlignment="1">
      <alignment vertical="center"/>
    </xf>
    <xf numFmtId="4" fontId="25" fillId="0" borderId="15" xfId="17" applyNumberFormat="1" applyFont="1" applyFill="1" applyBorder="1" applyAlignment="1">
      <alignment vertical="center"/>
    </xf>
    <xf numFmtId="3" fontId="24" fillId="0" borderId="0" xfId="17" applyNumberFormat="1" applyFont="1" applyFill="1"/>
    <xf numFmtId="166" fontId="24" fillId="0" borderId="0" xfId="17" applyNumberFormat="1" applyFont="1" applyFill="1"/>
    <xf numFmtId="166" fontId="25" fillId="0" borderId="15" xfId="0" applyNumberFormat="1" applyFont="1" applyFill="1" applyBorder="1"/>
    <xf numFmtId="0" fontId="25" fillId="0" borderId="10" xfId="17" applyFont="1" applyFill="1" applyBorder="1" applyAlignment="1">
      <alignment horizontal="center" vertical="center" wrapText="1"/>
    </xf>
    <xf numFmtId="0" fontId="25" fillId="0" borderId="10" xfId="17" applyFont="1" applyFill="1" applyBorder="1" applyAlignment="1">
      <alignment horizontal="center" vertical="center"/>
    </xf>
    <xf numFmtId="0" fontId="25" fillId="0" borderId="16" xfId="17" applyFont="1" applyFill="1" applyBorder="1" applyAlignment="1">
      <alignment horizontal="center" vertical="center"/>
    </xf>
    <xf numFmtId="0" fontId="31" fillId="0" borderId="16" xfId="17" applyFont="1" applyFill="1" applyBorder="1" applyAlignment="1">
      <alignment horizontal="left" vertical="center" wrapText="1"/>
    </xf>
    <xf numFmtId="0" fontId="24" fillId="0" borderId="16" xfId="17" applyFont="1" applyFill="1" applyBorder="1" applyAlignment="1">
      <alignment horizontal="center" vertical="center" wrapText="1"/>
    </xf>
    <xf numFmtId="3" fontId="25" fillId="0" borderId="16" xfId="17" applyNumberFormat="1" applyFont="1" applyFill="1" applyBorder="1"/>
    <xf numFmtId="3" fontId="31" fillId="0" borderId="16" xfId="17" applyNumberFormat="1" applyFont="1" applyFill="1" applyBorder="1" applyAlignment="1"/>
    <xf numFmtId="0" fontId="25" fillId="0" borderId="17" xfId="17" applyFont="1" applyFill="1" applyBorder="1" applyAlignment="1">
      <alignment horizontal="center" vertical="center"/>
    </xf>
    <xf numFmtId="0" fontId="32" fillId="0" borderId="17" xfId="17" applyFont="1" applyFill="1" applyBorder="1" applyAlignment="1">
      <alignment horizontal="left" vertical="center" wrapText="1"/>
    </xf>
    <xf numFmtId="0" fontId="24" fillId="0" borderId="17" xfId="17" applyFont="1" applyFill="1" applyBorder="1" applyAlignment="1">
      <alignment horizontal="center" vertical="center" wrapText="1"/>
    </xf>
    <xf numFmtId="3" fontId="25" fillId="0" borderId="17" xfId="17" applyNumberFormat="1" applyFont="1" applyFill="1" applyBorder="1" applyAlignment="1">
      <alignment horizontal="center" wrapText="1"/>
    </xf>
    <xf numFmtId="3" fontId="24" fillId="0" borderId="17" xfId="17" applyNumberFormat="1" applyFont="1" applyFill="1" applyBorder="1" applyAlignment="1">
      <alignment vertical="center" wrapText="1"/>
    </xf>
    <xf numFmtId="0" fontId="24" fillId="0" borderId="17" xfId="17" applyFont="1" applyFill="1" applyBorder="1"/>
    <xf numFmtId="2" fontId="25" fillId="0" borderId="15" xfId="17" applyNumberFormat="1" applyFont="1" applyFill="1" applyBorder="1"/>
    <xf numFmtId="0" fontId="24" fillId="0" borderId="15" xfId="17" applyFont="1" applyFill="1" applyBorder="1"/>
    <xf numFmtId="3" fontId="24" fillId="0" borderId="15" xfId="17" applyNumberFormat="1" applyFont="1" applyFill="1" applyBorder="1"/>
    <xf numFmtId="3" fontId="25" fillId="0" borderId="15" xfId="1" applyNumberFormat="1" applyFont="1" applyFill="1" applyBorder="1" applyAlignment="1">
      <alignment vertical="center" wrapText="1"/>
    </xf>
    <xf numFmtId="2" fontId="24" fillId="0" borderId="15" xfId="17" applyNumberFormat="1" applyFont="1" applyFill="1" applyBorder="1"/>
    <xf numFmtId="4" fontId="31" fillId="0" borderId="15" xfId="17" applyNumberFormat="1" applyFont="1" applyFill="1" applyBorder="1" applyAlignment="1"/>
    <xf numFmtId="4" fontId="23" fillId="0" borderId="15" xfId="17" applyNumberFormat="1" applyFont="1" applyFill="1" applyBorder="1" applyAlignment="1"/>
    <xf numFmtId="3" fontId="24" fillId="0" borderId="14" xfId="17" applyNumberFormat="1" applyFont="1" applyFill="1" applyBorder="1"/>
    <xf numFmtId="2" fontId="31" fillId="0" borderId="15" xfId="17" applyNumberFormat="1" applyFont="1" applyFill="1" applyBorder="1"/>
    <xf numFmtId="166" fontId="25" fillId="0" borderId="14" xfId="1" applyNumberFormat="1" applyFont="1" applyFill="1" applyBorder="1" applyAlignment="1">
      <alignment horizontal="right"/>
    </xf>
    <xf numFmtId="3" fontId="25" fillId="0" borderId="14" xfId="1" applyNumberFormat="1" applyFont="1" applyFill="1" applyBorder="1" applyAlignment="1">
      <alignment horizontal="right"/>
    </xf>
    <xf numFmtId="166" fontId="25" fillId="0" borderId="0" xfId="17" applyNumberFormat="1" applyFont="1" applyFill="1"/>
    <xf numFmtId="3" fontId="33" fillId="0" borderId="15" xfId="1" applyNumberFormat="1" applyFont="1" applyFill="1" applyBorder="1" applyAlignment="1">
      <alignment horizontal="right" wrapText="1"/>
    </xf>
    <xf numFmtId="3" fontId="33" fillId="0" borderId="15" xfId="17" applyNumberFormat="1" applyFont="1" applyFill="1" applyBorder="1" applyAlignment="1"/>
    <xf numFmtId="3" fontId="25" fillId="0" borderId="0" xfId="17" applyNumberFormat="1" applyFont="1" applyFill="1"/>
    <xf numFmtId="3" fontId="34" fillId="0" borderId="15" xfId="1" applyNumberFormat="1" applyFont="1" applyFill="1" applyBorder="1" applyAlignment="1">
      <alignment horizontal="right" wrapText="1"/>
    </xf>
    <xf numFmtId="0" fontId="25" fillId="0" borderId="10" xfId="17" applyFont="1" applyFill="1" applyBorder="1" applyAlignment="1">
      <alignment horizontal="center" vertical="center" wrapText="1"/>
    </xf>
    <xf numFmtId="0" fontId="26" fillId="0" borderId="0" xfId="17" applyFont="1" applyFill="1" applyAlignment="1">
      <alignment horizontal="center"/>
    </xf>
    <xf numFmtId="0" fontId="27" fillId="0" borderId="13" xfId="17" applyFont="1" applyFill="1" applyBorder="1" applyAlignment="1">
      <alignment horizontal="center" vertical="center"/>
    </xf>
    <xf numFmtId="0" fontId="25" fillId="0" borderId="10" xfId="17" applyFont="1" applyFill="1" applyBorder="1" applyAlignment="1">
      <alignment horizontal="center" vertical="center"/>
    </xf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8"/>
  <sheetViews>
    <sheetView tabSelected="1" zoomScale="130" zoomScaleNormal="130" workbookViewId="0">
      <pane ySplit="4" topLeftCell="A148" activePane="bottomLeft" state="frozen"/>
      <selection pane="bottomLeft" activeCell="F153" sqref="F153"/>
    </sheetView>
  </sheetViews>
  <sheetFormatPr defaultColWidth="9.140625" defaultRowHeight="15" customHeight="1"/>
  <cols>
    <col min="1" max="1" width="4.5703125" style="20" customWidth="1"/>
    <col min="2" max="2" width="26.28515625" style="21" customWidth="1"/>
    <col min="3" max="3" width="5.7109375" style="13" customWidth="1"/>
    <col min="4" max="4" width="8.42578125" style="13" customWidth="1"/>
    <col min="5" max="5" width="9.5703125" style="13" customWidth="1"/>
    <col min="6" max="6" width="8.28515625" style="13" customWidth="1"/>
    <col min="7" max="7" width="5.140625" style="13" hidden="1" customWidth="1"/>
    <col min="8" max="8" width="7.140625" style="11" customWidth="1"/>
    <col min="9" max="9" width="8.5703125" style="11" customWidth="1"/>
    <col min="10" max="10" width="7.140625" style="11" customWidth="1"/>
    <col min="11" max="11" width="7.7109375" style="11" customWidth="1"/>
    <col min="12" max="12" width="7.42578125" style="11" customWidth="1"/>
    <col min="13" max="13" width="7.140625" style="11" customWidth="1"/>
    <col min="14" max="14" width="7.42578125" style="11" customWidth="1"/>
    <col min="15" max="16384" width="9.140625" style="11"/>
  </cols>
  <sheetData>
    <row r="1" spans="1:17" ht="17.25" customHeight="1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22.5" customHeight="1">
      <c r="A2" s="157" t="s">
        <v>156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7" ht="15" customHeight="1">
      <c r="A3" s="158" t="s">
        <v>4</v>
      </c>
      <c r="B3" s="155" t="s">
        <v>5</v>
      </c>
      <c r="C3" s="155" t="s">
        <v>0</v>
      </c>
      <c r="D3" s="155" t="s">
        <v>111</v>
      </c>
      <c r="E3" s="155" t="s">
        <v>128</v>
      </c>
      <c r="F3" s="155" t="s">
        <v>154</v>
      </c>
      <c r="G3" s="155" t="s">
        <v>140</v>
      </c>
      <c r="H3" s="158" t="s">
        <v>100</v>
      </c>
      <c r="I3" s="158"/>
      <c r="J3" s="158"/>
      <c r="K3" s="158"/>
      <c r="L3" s="158"/>
      <c r="M3" s="158"/>
      <c r="N3" s="158"/>
      <c r="O3" s="155" t="s">
        <v>151</v>
      </c>
      <c r="P3" s="155" t="s">
        <v>153</v>
      </c>
    </row>
    <row r="4" spans="1:17" ht="54.75" customHeight="1">
      <c r="A4" s="158"/>
      <c r="B4" s="155"/>
      <c r="C4" s="155"/>
      <c r="D4" s="155"/>
      <c r="E4" s="155"/>
      <c r="F4" s="155"/>
      <c r="G4" s="155"/>
      <c r="H4" s="126" t="s">
        <v>6</v>
      </c>
      <c r="I4" s="126" t="s">
        <v>60</v>
      </c>
      <c r="J4" s="126" t="s">
        <v>86</v>
      </c>
      <c r="K4" s="126" t="s">
        <v>87</v>
      </c>
      <c r="L4" s="127" t="s">
        <v>88</v>
      </c>
      <c r="M4" s="127" t="s">
        <v>61</v>
      </c>
      <c r="N4" s="127" t="s">
        <v>62</v>
      </c>
      <c r="O4" s="155"/>
      <c r="P4" s="155"/>
      <c r="Q4" s="123"/>
    </row>
    <row r="5" spans="1:17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  <c r="O5" s="118">
        <v>15</v>
      </c>
      <c r="P5" s="118">
        <v>16</v>
      </c>
    </row>
    <row r="6" spans="1:17" s="12" customFormat="1" ht="14.25" hidden="1" customHeight="1">
      <c r="A6" s="22" t="s">
        <v>64</v>
      </c>
      <c r="B6" s="23" t="s">
        <v>102</v>
      </c>
      <c r="C6" s="24" t="s">
        <v>42</v>
      </c>
      <c r="D6" s="24"/>
      <c r="E6" s="25">
        <f>SUM(H6:N6)</f>
        <v>30969</v>
      </c>
      <c r="F6" s="25"/>
      <c r="G6" s="25"/>
      <c r="H6" s="26">
        <v>2982</v>
      </c>
      <c r="I6" s="25">
        <v>5648</v>
      </c>
      <c r="J6" s="25">
        <v>2725</v>
      </c>
      <c r="K6" s="25">
        <v>7366</v>
      </c>
      <c r="L6" s="25">
        <v>4383</v>
      </c>
      <c r="M6" s="25">
        <v>5597</v>
      </c>
      <c r="N6" s="25">
        <v>2268</v>
      </c>
    </row>
    <row r="7" spans="1:17" s="12" customFormat="1" ht="15" hidden="1" customHeight="1">
      <c r="A7" s="22" t="s">
        <v>64</v>
      </c>
      <c r="B7" s="23" t="s">
        <v>46</v>
      </c>
      <c r="C7" s="24" t="s">
        <v>42</v>
      </c>
      <c r="D7" s="24"/>
      <c r="E7" s="25">
        <f>SUM(H7:N7)</f>
        <v>30571</v>
      </c>
      <c r="F7" s="25"/>
      <c r="G7" s="25"/>
      <c r="H7" s="25">
        <v>2944</v>
      </c>
      <c r="I7" s="25">
        <v>5575</v>
      </c>
      <c r="J7" s="25">
        <v>2690</v>
      </c>
      <c r="K7" s="25">
        <v>7271</v>
      </c>
      <c r="L7" s="25">
        <v>4327</v>
      </c>
      <c r="M7" s="25">
        <v>5525</v>
      </c>
      <c r="N7" s="25">
        <v>2239</v>
      </c>
    </row>
    <row r="8" spans="1:17" ht="0.75" hidden="1" customHeight="1">
      <c r="A8" s="27" t="s">
        <v>64</v>
      </c>
      <c r="B8" s="28" t="s">
        <v>101</v>
      </c>
      <c r="C8" s="29" t="s">
        <v>103</v>
      </c>
      <c r="D8" s="29"/>
      <c r="E8" s="30">
        <f>(E9/E7)*1000</f>
        <v>433.51542311340813</v>
      </c>
      <c r="F8" s="30"/>
      <c r="G8" s="30"/>
      <c r="H8" s="30">
        <f t="shared" ref="H8:N8" si="0">(H9/H7)*1000</f>
        <v>769.0234375</v>
      </c>
      <c r="I8" s="30">
        <f t="shared" si="0"/>
        <v>417.01306547085198</v>
      </c>
      <c r="J8" s="30">
        <f t="shared" si="0"/>
        <v>551.21189591078064</v>
      </c>
      <c r="K8" s="30">
        <f t="shared" si="0"/>
        <v>261.44766882134508</v>
      </c>
      <c r="L8" s="30">
        <f t="shared" si="0"/>
        <v>548.17425467991677</v>
      </c>
      <c r="M8" s="30">
        <f t="shared" si="0"/>
        <v>113.81266968325791</v>
      </c>
      <c r="N8" s="30">
        <f t="shared" si="0"/>
        <v>710.08843233586413</v>
      </c>
    </row>
    <row r="9" spans="1:17" ht="10.5" hidden="1" customHeight="1">
      <c r="A9" s="31" t="s">
        <v>64</v>
      </c>
      <c r="B9" s="32" t="s">
        <v>89</v>
      </c>
      <c r="C9" s="33" t="s">
        <v>37</v>
      </c>
      <c r="D9" s="34">
        <v>14263.660620000002</v>
      </c>
      <c r="E9" s="35">
        <f>E17+E37</f>
        <v>13253</v>
      </c>
      <c r="F9" s="35">
        <f t="shared" ref="F9:N9" si="1">F17+F37</f>
        <v>12563.251840000001</v>
      </c>
      <c r="G9" s="35"/>
      <c r="H9" s="35">
        <f t="shared" si="1"/>
        <v>2264.0050000000001</v>
      </c>
      <c r="I9" s="35">
        <f t="shared" si="1"/>
        <v>2324.8478399999999</v>
      </c>
      <c r="J9" s="35">
        <f t="shared" si="1"/>
        <v>1482.76</v>
      </c>
      <c r="K9" s="35">
        <f t="shared" si="1"/>
        <v>1900.9859999999999</v>
      </c>
      <c r="L9" s="35">
        <f t="shared" si="1"/>
        <v>2371.9499999999998</v>
      </c>
      <c r="M9" s="35">
        <f t="shared" si="1"/>
        <v>628.81499999999994</v>
      </c>
      <c r="N9" s="35">
        <f t="shared" si="1"/>
        <v>1589.8879999999999</v>
      </c>
    </row>
    <row r="10" spans="1:17" ht="0.75" hidden="1" customHeight="1">
      <c r="A10" s="128"/>
      <c r="B10" s="129" t="s">
        <v>77</v>
      </c>
      <c r="C10" s="130" t="s">
        <v>37</v>
      </c>
      <c r="D10" s="131">
        <v>8252.4260200000008</v>
      </c>
      <c r="E10" s="132">
        <f t="shared" ref="E10:N10" si="2">E17</f>
        <v>8062</v>
      </c>
      <c r="F10" s="132">
        <f t="shared" si="2"/>
        <v>8012.0998400000008</v>
      </c>
      <c r="G10" s="132"/>
      <c r="H10" s="132">
        <f t="shared" si="2"/>
        <v>1484.355</v>
      </c>
      <c r="I10" s="132">
        <f t="shared" si="2"/>
        <v>1594.62084</v>
      </c>
      <c r="J10" s="132">
        <f t="shared" si="2"/>
        <v>1092.06</v>
      </c>
      <c r="K10" s="132">
        <f t="shared" si="2"/>
        <v>1344.386</v>
      </c>
      <c r="L10" s="132">
        <f t="shared" si="2"/>
        <v>1560.75</v>
      </c>
      <c r="M10" s="132">
        <f t="shared" si="2"/>
        <v>381.03999999999996</v>
      </c>
      <c r="N10" s="132">
        <f t="shared" si="2"/>
        <v>554.88800000000003</v>
      </c>
    </row>
    <row r="11" spans="1:17" ht="15" customHeight="1">
      <c r="A11" s="133" t="s">
        <v>9</v>
      </c>
      <c r="B11" s="134" t="s">
        <v>45</v>
      </c>
      <c r="C11" s="135" t="s">
        <v>40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138"/>
    </row>
    <row r="12" spans="1:17" ht="17.100000000000001" customHeight="1">
      <c r="A12" s="42" t="s">
        <v>64</v>
      </c>
      <c r="B12" s="32" t="s">
        <v>152</v>
      </c>
      <c r="C12" s="43" t="s">
        <v>1</v>
      </c>
      <c r="D12" s="37">
        <f>D13+D77+D125</f>
        <v>12691.17</v>
      </c>
      <c r="E12" s="37">
        <f>E13+E77+E125</f>
        <v>12752</v>
      </c>
      <c r="F12" s="37">
        <f>F13+F77+F125-1</f>
        <v>12792.630000000001</v>
      </c>
      <c r="G12" s="37">
        <f t="shared" ref="G12" si="3">G13+G77+G125</f>
        <v>12796.62</v>
      </c>
      <c r="H12" s="37">
        <f t="shared" ref="H12" si="4">H13+H77+H125</f>
        <v>844.89999999999986</v>
      </c>
      <c r="I12" s="37">
        <f t="shared" ref="I12" si="5">I13+I77+I125</f>
        <v>2171.6600000000003</v>
      </c>
      <c r="J12" s="37">
        <f t="shared" ref="J12" si="6">J13+J77+J125</f>
        <v>2054.85</v>
      </c>
      <c r="K12" s="37">
        <f t="shared" ref="K12" si="7">K13+K77+K125</f>
        <v>3853.64</v>
      </c>
      <c r="L12" s="37">
        <f t="shared" ref="L12" si="8">L13+L77+L125</f>
        <v>1948.73</v>
      </c>
      <c r="M12" s="37">
        <f t="shared" ref="M12" si="9">M13+M77+M125</f>
        <v>1097.4800000000002</v>
      </c>
      <c r="N12" s="37">
        <f t="shared" ref="N12" si="10">N13+N77+N125</f>
        <v>821.61999999999989</v>
      </c>
      <c r="O12" s="139">
        <f>F12/E12*100</f>
        <v>100.31861668757843</v>
      </c>
      <c r="P12" s="37">
        <f>F12-D12</f>
        <v>101.46000000000095</v>
      </c>
      <c r="Q12" s="123"/>
    </row>
    <row r="13" spans="1:17" ht="17.100000000000001" customHeight="1">
      <c r="A13" s="31" t="s">
        <v>10</v>
      </c>
      <c r="B13" s="32" t="s">
        <v>127</v>
      </c>
      <c r="C13" s="43" t="s">
        <v>1</v>
      </c>
      <c r="D13" s="37">
        <f>D15+D35+D49+D58+D67</f>
        <v>7265.9599999999991</v>
      </c>
      <c r="E13" s="35">
        <f>E15+E35+E49+E58+E67</f>
        <v>6817</v>
      </c>
      <c r="F13" s="152">
        <f>F15+F35+F49+F58+F67</f>
        <v>6787.13</v>
      </c>
      <c r="G13" s="35">
        <f>G15+G35+G49+G58+G67</f>
        <v>6790.12</v>
      </c>
      <c r="H13" s="35">
        <f t="shared" ref="H13:M13" si="11">H15+H35+H49+H58+H67</f>
        <v>697.9</v>
      </c>
      <c r="I13" s="35">
        <f t="shared" si="11"/>
        <v>1281.5900000000001</v>
      </c>
      <c r="J13" s="35">
        <f t="shared" si="11"/>
        <v>1264.75</v>
      </c>
      <c r="K13" s="35">
        <f t="shared" si="11"/>
        <v>1086.6399999999999</v>
      </c>
      <c r="L13" s="35">
        <f t="shared" si="11"/>
        <v>1353</v>
      </c>
      <c r="M13" s="35">
        <f t="shared" si="11"/>
        <v>549.9</v>
      </c>
      <c r="N13" s="35">
        <f>N15+N35+N51+N55+N60+N64+N69+N74</f>
        <v>552.59999999999991</v>
      </c>
      <c r="O13" s="139">
        <f>F13/E13*100</f>
        <v>99.561830717324341</v>
      </c>
      <c r="P13" s="37">
        <f t="shared" ref="P13:P76" si="12">F13-D13</f>
        <v>-478.82999999999902</v>
      </c>
      <c r="Q13" s="123"/>
    </row>
    <row r="14" spans="1:17" ht="17.100000000000001" customHeight="1">
      <c r="A14" s="31">
        <v>1</v>
      </c>
      <c r="B14" s="32" t="s">
        <v>58</v>
      </c>
      <c r="C14" s="33"/>
      <c r="D14" s="40" t="s">
        <v>98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40"/>
      <c r="P14" s="141"/>
      <c r="Q14" s="123"/>
    </row>
    <row r="15" spans="1:17" ht="17.100000000000001" customHeight="1">
      <c r="A15" s="42" t="s">
        <v>3</v>
      </c>
      <c r="B15" s="44" t="s">
        <v>11</v>
      </c>
      <c r="C15" s="31" t="s">
        <v>1</v>
      </c>
      <c r="D15" s="45">
        <v>1643.86</v>
      </c>
      <c r="E15" s="46">
        <f>E19+E23</f>
        <v>1556</v>
      </c>
      <c r="F15" s="47">
        <f t="shared" ref="F15:N15" si="13">F19+F23</f>
        <v>1535.87</v>
      </c>
      <c r="G15" s="47">
        <f>G19+G23</f>
        <v>1536.01</v>
      </c>
      <c r="H15" s="116">
        <f t="shared" si="13"/>
        <v>270.39999999999998</v>
      </c>
      <c r="I15" s="122">
        <f t="shared" si="13"/>
        <v>265.83</v>
      </c>
      <c r="J15" s="47">
        <f t="shared" si="13"/>
        <v>270</v>
      </c>
      <c r="K15" s="48">
        <f t="shared" si="13"/>
        <v>300.64</v>
      </c>
      <c r="L15" s="47">
        <f t="shared" si="13"/>
        <v>240</v>
      </c>
      <c r="M15" s="48">
        <f t="shared" si="13"/>
        <v>69.599999999999994</v>
      </c>
      <c r="N15" s="142">
        <f t="shared" si="13"/>
        <v>119.4</v>
      </c>
      <c r="O15" s="139">
        <f>F15/E15*100</f>
        <v>98.706298200514127</v>
      </c>
      <c r="P15" s="37">
        <f t="shared" si="12"/>
        <v>-107.99000000000001</v>
      </c>
      <c r="Q15" s="123"/>
    </row>
    <row r="16" spans="1:17" ht="17.100000000000001" customHeight="1">
      <c r="A16" s="42" t="s">
        <v>35</v>
      </c>
      <c r="B16" s="44" t="s">
        <v>12</v>
      </c>
      <c r="C16" s="33" t="s">
        <v>2</v>
      </c>
      <c r="D16" s="45">
        <v>50.201513632547787</v>
      </c>
      <c r="E16" s="49">
        <f t="shared" ref="E16:N16" si="14">E17/E15*10</f>
        <v>51.81233933161954</v>
      </c>
      <c r="F16" s="50">
        <f t="shared" si="14"/>
        <v>52.166523468783168</v>
      </c>
      <c r="G16" s="50">
        <f>G17/G15*10</f>
        <v>52.424281091919973</v>
      </c>
      <c r="H16" s="50">
        <f t="shared" si="14"/>
        <v>54.894785502958584</v>
      </c>
      <c r="I16" s="50">
        <f t="shared" si="14"/>
        <v>59.986489109581314</v>
      </c>
      <c r="J16" s="50">
        <f t="shared" si="14"/>
        <v>40.446666666666658</v>
      </c>
      <c r="K16" s="50">
        <f t="shared" si="14"/>
        <v>44.717469398616288</v>
      </c>
      <c r="L16" s="50">
        <f t="shared" si="14"/>
        <v>65.03125</v>
      </c>
      <c r="M16" s="50">
        <f t="shared" si="14"/>
        <v>54.747126436781606</v>
      </c>
      <c r="N16" s="50">
        <f t="shared" si="14"/>
        <v>46.473031825795644</v>
      </c>
      <c r="O16" s="143">
        <f t="shared" ref="O16:O79" si="15">F16/E16*100</f>
        <v>100.6835903217894</v>
      </c>
      <c r="P16" s="141">
        <f t="shared" si="12"/>
        <v>1.9650098362353816</v>
      </c>
    </row>
    <row r="17" spans="1:17" ht="17.100000000000001" customHeight="1">
      <c r="A17" s="42" t="s">
        <v>35</v>
      </c>
      <c r="B17" s="44" t="s">
        <v>13</v>
      </c>
      <c r="C17" s="33" t="s">
        <v>37</v>
      </c>
      <c r="D17" s="45">
        <v>8252.4260200000008</v>
      </c>
      <c r="E17" s="50">
        <f>E21+E25</f>
        <v>8062</v>
      </c>
      <c r="F17" s="50">
        <f t="shared" ref="F17:N17" si="16">F21+F25</f>
        <v>8012.0998400000008</v>
      </c>
      <c r="G17" s="50">
        <f>G21+G25</f>
        <v>8052.4219999999996</v>
      </c>
      <c r="H17" s="50">
        <f t="shared" si="16"/>
        <v>1484.355</v>
      </c>
      <c r="I17" s="50">
        <f t="shared" si="16"/>
        <v>1594.62084</v>
      </c>
      <c r="J17" s="50">
        <f t="shared" si="16"/>
        <v>1092.06</v>
      </c>
      <c r="K17" s="50">
        <f t="shared" si="16"/>
        <v>1344.386</v>
      </c>
      <c r="L17" s="50">
        <f t="shared" si="16"/>
        <v>1560.75</v>
      </c>
      <c r="M17" s="50">
        <f t="shared" si="16"/>
        <v>381.03999999999996</v>
      </c>
      <c r="N17" s="50">
        <f t="shared" si="16"/>
        <v>554.88800000000003</v>
      </c>
      <c r="O17" s="143">
        <f t="shared" si="15"/>
        <v>99.381044902009435</v>
      </c>
      <c r="P17" s="141">
        <f t="shared" si="12"/>
        <v>-240.32618000000002</v>
      </c>
    </row>
    <row r="18" spans="1:17" s="12" customFormat="1" ht="17.100000000000001" customHeight="1">
      <c r="A18" s="51" t="s">
        <v>7</v>
      </c>
      <c r="B18" s="36" t="s">
        <v>14</v>
      </c>
      <c r="C18" s="36" t="s">
        <v>40</v>
      </c>
      <c r="D18" s="3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43"/>
      <c r="P18" s="141"/>
    </row>
    <row r="19" spans="1:17" ht="17.100000000000001" customHeight="1">
      <c r="A19" s="42" t="s">
        <v>35</v>
      </c>
      <c r="B19" s="44" t="s">
        <v>11</v>
      </c>
      <c r="C19" s="33" t="s">
        <v>1</v>
      </c>
      <c r="D19" s="52">
        <v>527.81000000000006</v>
      </c>
      <c r="E19" s="41">
        <v>522</v>
      </c>
      <c r="F19" s="41">
        <f>H19+I19+J19+K19+L19+M19+N19</f>
        <v>522.86</v>
      </c>
      <c r="G19" s="41">
        <v>523</v>
      </c>
      <c r="H19" s="41">
        <v>113.5</v>
      </c>
      <c r="I19" s="41">
        <v>107.13</v>
      </c>
      <c r="J19" s="41">
        <v>63</v>
      </c>
      <c r="K19" s="41">
        <v>82.73</v>
      </c>
      <c r="L19" s="41">
        <v>97.5</v>
      </c>
      <c r="M19" s="41">
        <v>20.6</v>
      </c>
      <c r="N19" s="41">
        <v>38.4</v>
      </c>
      <c r="O19" s="143">
        <f t="shared" si="15"/>
        <v>100.16475095785439</v>
      </c>
      <c r="P19" s="141">
        <f t="shared" si="12"/>
        <v>-4.9500000000000455</v>
      </c>
      <c r="Q19" s="123"/>
    </row>
    <row r="20" spans="1:17" ht="17.100000000000001" customHeight="1">
      <c r="A20" s="42" t="s">
        <v>35</v>
      </c>
      <c r="B20" s="44" t="s">
        <v>12</v>
      </c>
      <c r="C20" s="33" t="s">
        <v>2</v>
      </c>
      <c r="D20" s="52">
        <v>63.165502737727593</v>
      </c>
      <c r="E20" s="53">
        <f>E21/E19*10</f>
        <v>63.256704980842912</v>
      </c>
      <c r="F20" s="54">
        <f>F21/F19*10</f>
        <v>63.366098764487624</v>
      </c>
      <c r="G20" s="53">
        <f>G21/G19*10</f>
        <v>63.384321223709364</v>
      </c>
      <c r="H20" s="55">
        <v>61.3</v>
      </c>
      <c r="I20" s="50">
        <v>62.68</v>
      </c>
      <c r="J20" s="50">
        <v>61.2</v>
      </c>
      <c r="K20" s="50">
        <v>62</v>
      </c>
      <c r="L20" s="50">
        <v>70</v>
      </c>
      <c r="M20" s="50">
        <v>64</v>
      </c>
      <c r="N20" s="50">
        <v>60.7</v>
      </c>
      <c r="O20" s="143">
        <f t="shared" si="15"/>
        <v>100.17293626608885</v>
      </c>
      <c r="P20" s="141">
        <f t="shared" si="12"/>
        <v>0.20059602676003152</v>
      </c>
    </row>
    <row r="21" spans="1:17" ht="17.100000000000001" customHeight="1">
      <c r="A21" s="42" t="s">
        <v>35</v>
      </c>
      <c r="B21" s="44" t="s">
        <v>13</v>
      </c>
      <c r="C21" s="33" t="s">
        <v>37</v>
      </c>
      <c r="D21" s="56">
        <v>3333.9384000000005</v>
      </c>
      <c r="E21" s="50">
        <v>3302</v>
      </c>
      <c r="F21" s="50">
        <f>H21+I21+J21+K21+L21+M21+N21</f>
        <v>3313.1598400000003</v>
      </c>
      <c r="G21" s="50">
        <v>3315</v>
      </c>
      <c r="H21" s="57">
        <f t="shared" ref="H21:N21" si="17">H20*H19/10</f>
        <v>695.75499999999988</v>
      </c>
      <c r="I21" s="50">
        <f t="shared" si="17"/>
        <v>671.49083999999993</v>
      </c>
      <c r="J21" s="50">
        <f>J20*J19/10</f>
        <v>385.56000000000006</v>
      </c>
      <c r="K21" s="50">
        <f t="shared" si="17"/>
        <v>512.92600000000004</v>
      </c>
      <c r="L21" s="50">
        <f t="shared" si="17"/>
        <v>682.5</v>
      </c>
      <c r="M21" s="50">
        <f t="shared" si="17"/>
        <v>131.84</v>
      </c>
      <c r="N21" s="50">
        <f t="shared" si="17"/>
        <v>233.08800000000002</v>
      </c>
      <c r="O21" s="143">
        <f t="shared" si="15"/>
        <v>100.33797213809812</v>
      </c>
      <c r="P21" s="141">
        <f t="shared" si="12"/>
        <v>-20.778560000000198</v>
      </c>
    </row>
    <row r="22" spans="1:17" ht="17.100000000000001" customHeight="1">
      <c r="A22" s="51" t="s">
        <v>8</v>
      </c>
      <c r="B22" s="36" t="s">
        <v>43</v>
      </c>
      <c r="C22" s="33" t="s">
        <v>40</v>
      </c>
      <c r="D22" s="58"/>
      <c r="E22" s="41"/>
      <c r="F22" s="41"/>
      <c r="G22" s="41"/>
      <c r="H22" s="50"/>
      <c r="I22" s="50"/>
      <c r="J22" s="50"/>
      <c r="K22" s="50"/>
      <c r="L22" s="50"/>
      <c r="M22" s="50"/>
      <c r="N22" s="50"/>
      <c r="O22" s="143"/>
      <c r="P22" s="141"/>
    </row>
    <row r="23" spans="1:17" ht="17.100000000000001" customHeight="1">
      <c r="A23" s="42" t="s">
        <v>35</v>
      </c>
      <c r="B23" s="44" t="s">
        <v>11</v>
      </c>
      <c r="C23" s="42" t="s">
        <v>1</v>
      </c>
      <c r="D23" s="56">
        <v>1116.05</v>
      </c>
      <c r="E23" s="119">
        <f>E27+E31</f>
        <v>1034</v>
      </c>
      <c r="F23" s="41">
        <f t="shared" ref="F23:N23" si="18">F27+F31</f>
        <v>1013.01</v>
      </c>
      <c r="G23" s="41">
        <f>G27+G31</f>
        <v>1013.01</v>
      </c>
      <c r="H23" s="120">
        <f t="shared" si="18"/>
        <v>156.9</v>
      </c>
      <c r="I23" s="121">
        <f t="shared" si="18"/>
        <v>158.69999999999999</v>
      </c>
      <c r="J23" s="41">
        <f t="shared" si="18"/>
        <v>207</v>
      </c>
      <c r="K23" s="121">
        <f t="shared" si="18"/>
        <v>217.91</v>
      </c>
      <c r="L23" s="41">
        <f t="shared" si="18"/>
        <v>142.5</v>
      </c>
      <c r="M23" s="121">
        <f t="shared" si="18"/>
        <v>49</v>
      </c>
      <c r="N23" s="41">
        <f t="shared" si="18"/>
        <v>81</v>
      </c>
      <c r="O23" s="143">
        <f t="shared" si="15"/>
        <v>97.970019342359777</v>
      </c>
      <c r="P23" s="141">
        <f t="shared" si="12"/>
        <v>-103.03999999999996</v>
      </c>
      <c r="Q23" s="123"/>
    </row>
    <row r="24" spans="1:17" ht="17.100000000000001" customHeight="1">
      <c r="A24" s="42" t="s">
        <v>35</v>
      </c>
      <c r="B24" s="44" t="s">
        <v>12</v>
      </c>
      <c r="C24" s="33" t="s">
        <v>2</v>
      </c>
      <c r="D24" s="52">
        <v>44.070495228708388</v>
      </c>
      <c r="E24" s="50">
        <f t="shared" ref="E24:N24" si="19">E25/E23*10</f>
        <v>46.034816247582206</v>
      </c>
      <c r="F24" s="50">
        <f t="shared" si="19"/>
        <v>46.385919191320923</v>
      </c>
      <c r="G24" s="50">
        <f>G25/G23*10</f>
        <v>46.765796981273624</v>
      </c>
      <c r="H24" s="50">
        <f t="shared" si="19"/>
        <v>50.261312938177184</v>
      </c>
      <c r="I24" s="50">
        <f t="shared" si="19"/>
        <v>58.168241965973536</v>
      </c>
      <c r="J24" s="50">
        <f t="shared" si="19"/>
        <v>34.130434782608695</v>
      </c>
      <c r="K24" s="50">
        <f t="shared" si="19"/>
        <v>38.156119498875675</v>
      </c>
      <c r="L24" s="50">
        <f t="shared" si="19"/>
        <v>61.631578947368418</v>
      </c>
      <c r="M24" s="50">
        <f t="shared" si="19"/>
        <v>50.857142857142854</v>
      </c>
      <c r="N24" s="50">
        <f t="shared" si="19"/>
        <v>39.728395061728399</v>
      </c>
      <c r="O24" s="143">
        <f t="shared" si="15"/>
        <v>100.76269000803745</v>
      </c>
      <c r="P24" s="141">
        <f t="shared" si="12"/>
        <v>2.3154239626125346</v>
      </c>
    </row>
    <row r="25" spans="1:17" ht="17.100000000000001" customHeight="1">
      <c r="A25" s="42" t="s">
        <v>35</v>
      </c>
      <c r="B25" s="44" t="s">
        <v>13</v>
      </c>
      <c r="C25" s="33" t="s">
        <v>37</v>
      </c>
      <c r="D25" s="56">
        <v>4918.4876199999999</v>
      </c>
      <c r="E25" s="50">
        <f>E29+E33</f>
        <v>4760</v>
      </c>
      <c r="F25" s="50">
        <f t="shared" ref="F25:N25" si="20">F29+F33</f>
        <v>4698.9400000000005</v>
      </c>
      <c r="G25" s="50">
        <f>G29+G33</f>
        <v>4737.4219999999996</v>
      </c>
      <c r="H25" s="50">
        <f t="shared" si="20"/>
        <v>788.6</v>
      </c>
      <c r="I25" s="50">
        <f t="shared" si="20"/>
        <v>923.13</v>
      </c>
      <c r="J25" s="50">
        <f t="shared" si="20"/>
        <v>706.5</v>
      </c>
      <c r="K25" s="50">
        <f t="shared" si="20"/>
        <v>831.45999999999992</v>
      </c>
      <c r="L25" s="50">
        <f t="shared" si="20"/>
        <v>878.25</v>
      </c>
      <c r="M25" s="50">
        <f t="shared" si="20"/>
        <v>249.2</v>
      </c>
      <c r="N25" s="50">
        <f t="shared" si="20"/>
        <v>321.8</v>
      </c>
      <c r="O25" s="143">
        <f t="shared" si="15"/>
        <v>98.717226890756322</v>
      </c>
      <c r="P25" s="141">
        <f t="shared" si="12"/>
        <v>-219.54761999999937</v>
      </c>
    </row>
    <row r="26" spans="1:17" ht="17.100000000000001" customHeight="1">
      <c r="A26" s="42" t="s">
        <v>68</v>
      </c>
      <c r="B26" s="59" t="s">
        <v>38</v>
      </c>
      <c r="C26" s="33" t="s">
        <v>40</v>
      </c>
      <c r="D26" s="60"/>
      <c r="E26" s="41"/>
      <c r="F26" s="41"/>
      <c r="G26" s="41"/>
      <c r="H26" s="50"/>
      <c r="I26" s="50"/>
      <c r="J26" s="50"/>
      <c r="K26" s="50"/>
      <c r="L26" s="50"/>
      <c r="M26" s="50"/>
      <c r="N26" s="50"/>
      <c r="O26" s="143"/>
      <c r="P26" s="141">
        <f t="shared" si="12"/>
        <v>0</v>
      </c>
    </row>
    <row r="27" spans="1:17" ht="17.100000000000001" customHeight="1">
      <c r="A27" s="42" t="s">
        <v>35</v>
      </c>
      <c r="B27" s="44" t="s">
        <v>11</v>
      </c>
      <c r="C27" s="33" t="s">
        <v>1</v>
      </c>
      <c r="D27" s="61">
        <v>633.9899999999999</v>
      </c>
      <c r="E27" s="50">
        <v>634</v>
      </c>
      <c r="F27" s="50">
        <f>H27+I27+J27+K27+L27+M27+N27</f>
        <v>636.61</v>
      </c>
      <c r="G27" s="50">
        <f>F27</f>
        <v>636.61</v>
      </c>
      <c r="H27" s="55">
        <v>118.7</v>
      </c>
      <c r="I27" s="55">
        <v>148</v>
      </c>
      <c r="J27" s="50">
        <v>75</v>
      </c>
      <c r="K27" s="50">
        <v>98.91</v>
      </c>
      <c r="L27" s="50">
        <v>120</v>
      </c>
      <c r="M27" s="50">
        <v>35</v>
      </c>
      <c r="N27" s="50">
        <v>41</v>
      </c>
      <c r="O27" s="143">
        <f t="shared" si="15"/>
        <v>100.41167192429022</v>
      </c>
      <c r="P27" s="141">
        <f t="shared" si="12"/>
        <v>2.6200000000001182</v>
      </c>
      <c r="Q27" s="123"/>
    </row>
    <row r="28" spans="1:17" ht="17.100000000000001" customHeight="1">
      <c r="A28" s="42" t="s">
        <v>36</v>
      </c>
      <c r="B28" s="44" t="s">
        <v>12</v>
      </c>
      <c r="C28" s="33" t="s">
        <v>2</v>
      </c>
      <c r="D28" s="61">
        <v>61.301589930440556</v>
      </c>
      <c r="E28" s="50">
        <f>E29/E27*10</f>
        <v>61.529968454258679</v>
      </c>
      <c r="F28" s="50">
        <f>F29/F27*10</f>
        <v>62.090762004995213</v>
      </c>
      <c r="G28" s="50">
        <v>62</v>
      </c>
      <c r="H28" s="50">
        <v>60</v>
      </c>
      <c r="I28" s="50">
        <v>61</v>
      </c>
      <c r="J28" s="50">
        <v>59</v>
      </c>
      <c r="K28" s="50">
        <v>60</v>
      </c>
      <c r="L28" s="50">
        <v>70</v>
      </c>
      <c r="M28" s="50">
        <v>64</v>
      </c>
      <c r="N28" s="50">
        <v>58</v>
      </c>
      <c r="O28" s="143">
        <f t="shared" si="15"/>
        <v>100.91141530675971</v>
      </c>
      <c r="P28" s="141">
        <f t="shared" si="12"/>
        <v>0.78917207455465643</v>
      </c>
    </row>
    <row r="29" spans="1:17" ht="17.100000000000001" customHeight="1">
      <c r="A29" s="42" t="s">
        <v>35</v>
      </c>
      <c r="B29" s="44" t="s">
        <v>13</v>
      </c>
      <c r="C29" s="33" t="s">
        <v>37</v>
      </c>
      <c r="D29" s="62">
        <v>3886.4594999999999</v>
      </c>
      <c r="E29" s="50">
        <v>3901</v>
      </c>
      <c r="F29" s="50">
        <f>H29+I29+J29+K29+L29+M29+N29</f>
        <v>3952.76</v>
      </c>
      <c r="G29" s="50">
        <f>G27*G28/10</f>
        <v>3946.982</v>
      </c>
      <c r="H29" s="50">
        <f t="shared" ref="H29:N29" si="21">H28*H27/10</f>
        <v>712.2</v>
      </c>
      <c r="I29" s="50">
        <f t="shared" si="21"/>
        <v>902.8</v>
      </c>
      <c r="J29" s="50">
        <f t="shared" si="21"/>
        <v>442.5</v>
      </c>
      <c r="K29" s="50">
        <f t="shared" si="21"/>
        <v>593.45999999999992</v>
      </c>
      <c r="L29" s="50">
        <f t="shared" si="21"/>
        <v>840</v>
      </c>
      <c r="M29" s="50">
        <f t="shared" si="21"/>
        <v>224</v>
      </c>
      <c r="N29" s="50">
        <f t="shared" si="21"/>
        <v>237.8</v>
      </c>
      <c r="O29" s="143">
        <f t="shared" si="15"/>
        <v>101.32683927198154</v>
      </c>
      <c r="P29" s="141">
        <f t="shared" si="12"/>
        <v>66.300500000000284</v>
      </c>
    </row>
    <row r="30" spans="1:17" ht="17.100000000000001" customHeight="1">
      <c r="A30" s="42" t="s">
        <v>69</v>
      </c>
      <c r="B30" s="59" t="s">
        <v>65</v>
      </c>
      <c r="C30" s="33" t="s">
        <v>40</v>
      </c>
      <c r="D30" s="60"/>
      <c r="E30" s="41"/>
      <c r="F30" s="41"/>
      <c r="G30" s="41"/>
      <c r="H30" s="50"/>
      <c r="I30" s="50"/>
      <c r="J30" s="50"/>
      <c r="K30" s="50"/>
      <c r="L30" s="50"/>
      <c r="M30" s="50"/>
      <c r="N30" s="50"/>
      <c r="O30" s="143"/>
      <c r="P30" s="141">
        <f t="shared" si="12"/>
        <v>0</v>
      </c>
    </row>
    <row r="31" spans="1:17" ht="17.100000000000001" customHeight="1">
      <c r="A31" s="42" t="s">
        <v>35</v>
      </c>
      <c r="B31" s="44" t="s">
        <v>11</v>
      </c>
      <c r="C31" s="33" t="s">
        <v>1</v>
      </c>
      <c r="D31" s="61">
        <v>482.06</v>
      </c>
      <c r="E31" s="50">
        <v>400</v>
      </c>
      <c r="F31" s="50">
        <f>H31+I31+J31+K31+L31+M31+N31</f>
        <v>376.4</v>
      </c>
      <c r="G31" s="50">
        <f>F31</f>
        <v>376.4</v>
      </c>
      <c r="H31" s="55">
        <v>38.200000000000003</v>
      </c>
      <c r="I31" s="50">
        <v>10.7</v>
      </c>
      <c r="J31" s="50">
        <v>132</v>
      </c>
      <c r="K31" s="50">
        <v>119</v>
      </c>
      <c r="L31" s="50">
        <v>22.5</v>
      </c>
      <c r="M31" s="50">
        <v>14</v>
      </c>
      <c r="N31" s="50">
        <v>40</v>
      </c>
      <c r="O31" s="143">
        <f t="shared" si="15"/>
        <v>94.1</v>
      </c>
      <c r="P31" s="141">
        <f t="shared" si="12"/>
        <v>-105.66000000000003</v>
      </c>
      <c r="Q31" s="123"/>
    </row>
    <row r="32" spans="1:17" ht="17.100000000000001" customHeight="1">
      <c r="A32" s="42" t="s">
        <v>36</v>
      </c>
      <c r="B32" s="44" t="s">
        <v>12</v>
      </c>
      <c r="C32" s="33" t="s">
        <v>2</v>
      </c>
      <c r="D32" s="61">
        <v>21.408706799983403</v>
      </c>
      <c r="E32" s="50">
        <f>E33/E31*10</f>
        <v>21.475000000000001</v>
      </c>
      <c r="F32" s="50">
        <f>F33/F31*10</f>
        <v>19.824123273113713</v>
      </c>
      <c r="G32" s="50">
        <v>21</v>
      </c>
      <c r="H32" s="50">
        <v>20</v>
      </c>
      <c r="I32" s="50">
        <v>19</v>
      </c>
      <c r="J32" s="50">
        <v>20</v>
      </c>
      <c r="K32" s="50">
        <v>20</v>
      </c>
      <c r="L32" s="50">
        <v>17</v>
      </c>
      <c r="M32" s="50">
        <v>18</v>
      </c>
      <c r="N32" s="50">
        <v>21</v>
      </c>
      <c r="O32" s="143">
        <f t="shared" si="15"/>
        <v>92.312564717642431</v>
      </c>
      <c r="P32" s="141">
        <f t="shared" si="12"/>
        <v>-1.5845835268696895</v>
      </c>
    </row>
    <row r="33" spans="1:17" ht="17.100000000000001" customHeight="1">
      <c r="A33" s="42" t="s">
        <v>35</v>
      </c>
      <c r="B33" s="44" t="s">
        <v>13</v>
      </c>
      <c r="C33" s="33" t="s">
        <v>37</v>
      </c>
      <c r="D33" s="62">
        <v>1032.0281199999999</v>
      </c>
      <c r="E33" s="50">
        <v>859</v>
      </c>
      <c r="F33" s="50">
        <f>H33+I33+J33+K33+L33+M33+N33</f>
        <v>746.18000000000006</v>
      </c>
      <c r="G33" s="50">
        <f>G31*G32/10</f>
        <v>790.43999999999994</v>
      </c>
      <c r="H33" s="50">
        <f t="shared" ref="H33:N33" si="22">H32*H31/10</f>
        <v>76.400000000000006</v>
      </c>
      <c r="I33" s="50">
        <f t="shared" si="22"/>
        <v>20.329999999999998</v>
      </c>
      <c r="J33" s="50">
        <f t="shared" si="22"/>
        <v>264</v>
      </c>
      <c r="K33" s="50">
        <f t="shared" si="22"/>
        <v>238</v>
      </c>
      <c r="L33" s="50">
        <f>L32*L31/10</f>
        <v>38.25</v>
      </c>
      <c r="M33" s="50">
        <f t="shared" si="22"/>
        <v>25.2</v>
      </c>
      <c r="N33" s="50">
        <f t="shared" si="22"/>
        <v>84</v>
      </c>
      <c r="O33" s="143">
        <f t="shared" si="15"/>
        <v>86.866123399301514</v>
      </c>
      <c r="P33" s="141">
        <f t="shared" si="12"/>
        <v>-285.84811999999988</v>
      </c>
    </row>
    <row r="34" spans="1:17" ht="17.100000000000001" customHeight="1">
      <c r="A34" s="31">
        <v>2</v>
      </c>
      <c r="B34" s="32" t="s">
        <v>66</v>
      </c>
      <c r="C34" s="33" t="s">
        <v>40</v>
      </c>
      <c r="D34" s="6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39"/>
      <c r="P34" s="141">
        <f t="shared" si="12"/>
        <v>0</v>
      </c>
    </row>
    <row r="35" spans="1:17" ht="17.100000000000001" customHeight="1">
      <c r="A35" s="42" t="s">
        <v>35</v>
      </c>
      <c r="B35" s="44" t="s">
        <v>11</v>
      </c>
      <c r="C35" s="33" t="s">
        <v>1</v>
      </c>
      <c r="D35" s="64">
        <v>1024.8599999999999</v>
      </c>
      <c r="E35" s="50">
        <f>E38+E42+E46</f>
        <v>890</v>
      </c>
      <c r="F35" s="50">
        <f t="shared" ref="F35:N35" si="23">F38+F42+F46</f>
        <v>777.11</v>
      </c>
      <c r="G35" s="50">
        <f>G38+G42+G46</f>
        <v>777.11</v>
      </c>
      <c r="H35" s="50">
        <f t="shared" si="23"/>
        <v>139.5</v>
      </c>
      <c r="I35" s="50">
        <f t="shared" si="23"/>
        <v>128.11000000000001</v>
      </c>
      <c r="J35" s="50">
        <f t="shared" si="23"/>
        <v>69.5</v>
      </c>
      <c r="K35" s="50">
        <f t="shared" si="23"/>
        <v>92</v>
      </c>
      <c r="L35" s="50">
        <f t="shared" si="23"/>
        <v>132</v>
      </c>
      <c r="M35" s="50">
        <f t="shared" si="23"/>
        <v>42</v>
      </c>
      <c r="N35" s="50">
        <f t="shared" si="23"/>
        <v>174</v>
      </c>
      <c r="O35" s="143">
        <f t="shared" si="15"/>
        <v>87.315730337078662</v>
      </c>
      <c r="P35" s="141">
        <f t="shared" si="12"/>
        <v>-247.74999999999989</v>
      </c>
      <c r="Q35" s="123"/>
    </row>
    <row r="36" spans="1:17" ht="17.100000000000001" customHeight="1">
      <c r="A36" s="42" t="s">
        <v>36</v>
      </c>
      <c r="B36" s="44" t="s">
        <v>12</v>
      </c>
      <c r="C36" s="33" t="s">
        <v>2</v>
      </c>
      <c r="D36" s="64">
        <v>58.654202525222971</v>
      </c>
      <c r="E36" s="50">
        <f t="shared" ref="E36:N36" si="24">E37/E35*10</f>
        <v>58.325842696629209</v>
      </c>
      <c r="F36" s="50">
        <f>F37/F35*10</f>
        <v>58.565093744772298</v>
      </c>
      <c r="G36" s="55">
        <f>G37/G35*10</f>
        <v>58.505552624467576</v>
      </c>
      <c r="H36" s="50">
        <f>H37/H35*10</f>
        <v>55.888888888888886</v>
      </c>
      <c r="I36" s="50">
        <f t="shared" si="24"/>
        <v>56.999999999999993</v>
      </c>
      <c r="J36" s="50">
        <f t="shared" si="24"/>
        <v>56.215827338129493</v>
      </c>
      <c r="K36" s="50">
        <f t="shared" si="24"/>
        <v>60.5</v>
      </c>
      <c r="L36" s="50">
        <f t="shared" si="24"/>
        <v>61.454545454545453</v>
      </c>
      <c r="M36" s="50">
        <f t="shared" si="24"/>
        <v>58.994047619047613</v>
      </c>
      <c r="N36" s="50">
        <f t="shared" si="24"/>
        <v>59.482758620689651</v>
      </c>
      <c r="O36" s="143">
        <f t="shared" si="15"/>
        <v>100.41019732777374</v>
      </c>
      <c r="P36" s="141">
        <f t="shared" si="12"/>
        <v>-8.9108780450672498E-2</v>
      </c>
    </row>
    <row r="37" spans="1:17" ht="17.100000000000001" customHeight="1">
      <c r="A37" s="42" t="s">
        <v>35</v>
      </c>
      <c r="B37" s="44" t="s">
        <v>13</v>
      </c>
      <c r="C37" s="33" t="s">
        <v>37</v>
      </c>
      <c r="D37" s="64">
        <v>6011.2346000000007</v>
      </c>
      <c r="E37" s="50">
        <v>5191</v>
      </c>
      <c r="F37" s="50">
        <f t="shared" ref="F37:N37" si="25">F40+F44+F48</f>
        <v>4551.152</v>
      </c>
      <c r="G37" s="50">
        <f>G40+G44+G48</f>
        <v>4546.5249999999996</v>
      </c>
      <c r="H37" s="50">
        <f t="shared" si="25"/>
        <v>779.65</v>
      </c>
      <c r="I37" s="50">
        <f t="shared" si="25"/>
        <v>730.22699999999998</v>
      </c>
      <c r="J37" s="50">
        <f t="shared" si="25"/>
        <v>390.7</v>
      </c>
      <c r="K37" s="50">
        <f t="shared" si="25"/>
        <v>556.6</v>
      </c>
      <c r="L37" s="50">
        <f t="shared" si="25"/>
        <v>811.2</v>
      </c>
      <c r="M37" s="50">
        <f t="shared" si="25"/>
        <v>247.77499999999998</v>
      </c>
      <c r="N37" s="50">
        <f t="shared" si="25"/>
        <v>1035</v>
      </c>
      <c r="O37" s="143">
        <f t="shared" si="15"/>
        <v>87.673897129647472</v>
      </c>
      <c r="P37" s="141">
        <f t="shared" si="12"/>
        <v>-1460.0826000000006</v>
      </c>
      <c r="Q37" s="123"/>
    </row>
    <row r="38" spans="1:17" s="17" customFormat="1" ht="17.100000000000001" customHeight="1">
      <c r="A38" s="65" t="s">
        <v>34</v>
      </c>
      <c r="B38" s="59" t="s">
        <v>74</v>
      </c>
      <c r="C38" s="66" t="s">
        <v>1</v>
      </c>
      <c r="D38" s="67">
        <v>16</v>
      </c>
      <c r="E38" s="68">
        <v>11</v>
      </c>
      <c r="F38" s="68">
        <f>H38+I38+J38+K38+L38+M38+N38</f>
        <v>11.5</v>
      </c>
      <c r="G38" s="68">
        <f>F38</f>
        <v>11.5</v>
      </c>
      <c r="H38" s="68">
        <v>0</v>
      </c>
      <c r="I38" s="68">
        <v>0</v>
      </c>
      <c r="J38" s="68">
        <v>7</v>
      </c>
      <c r="K38" s="68">
        <v>4</v>
      </c>
      <c r="L38" s="68">
        <v>0</v>
      </c>
      <c r="M38" s="81">
        <v>0.5</v>
      </c>
      <c r="N38" s="68">
        <v>0</v>
      </c>
      <c r="O38" s="143">
        <f t="shared" si="15"/>
        <v>104.54545454545455</v>
      </c>
      <c r="P38" s="141">
        <f t="shared" si="12"/>
        <v>-4.5</v>
      </c>
      <c r="Q38" s="123"/>
    </row>
    <row r="39" spans="1:17" ht="17.100000000000001" customHeight="1">
      <c r="A39" s="42" t="s">
        <v>3</v>
      </c>
      <c r="B39" s="44" t="s">
        <v>12</v>
      </c>
      <c r="C39" s="33" t="s">
        <v>2</v>
      </c>
      <c r="D39" s="52">
        <v>71.47</v>
      </c>
      <c r="E39" s="50">
        <f>E40/E38*10</f>
        <v>53.636363636363633</v>
      </c>
      <c r="F39" s="50">
        <f>F40/F38*10</f>
        <v>53.934782608695656</v>
      </c>
      <c r="G39" s="50">
        <v>53.93</v>
      </c>
      <c r="H39" s="50">
        <v>0</v>
      </c>
      <c r="I39" s="50">
        <v>0</v>
      </c>
      <c r="J39" s="50">
        <v>53.5</v>
      </c>
      <c r="K39" s="50">
        <v>55</v>
      </c>
      <c r="L39" s="50">
        <v>0</v>
      </c>
      <c r="M39" s="50">
        <v>51.5</v>
      </c>
      <c r="N39" s="50">
        <v>0</v>
      </c>
      <c r="O39" s="143">
        <f t="shared" si="15"/>
        <v>100.55637435519529</v>
      </c>
      <c r="P39" s="141">
        <f t="shared" si="12"/>
        <v>-17.535217391304343</v>
      </c>
    </row>
    <row r="40" spans="1:17" ht="17.100000000000001" customHeight="1">
      <c r="A40" s="42" t="s">
        <v>3</v>
      </c>
      <c r="B40" s="44" t="s">
        <v>13</v>
      </c>
      <c r="C40" s="33" t="s">
        <v>37</v>
      </c>
      <c r="D40" s="52">
        <v>114.35</v>
      </c>
      <c r="E40" s="50">
        <v>59</v>
      </c>
      <c r="F40" s="50">
        <f>H40+I40+J40+K40+L40+M40+N40</f>
        <v>62.025000000000006</v>
      </c>
      <c r="G40" s="50">
        <f>G38*G39/10</f>
        <v>62.019500000000008</v>
      </c>
      <c r="H40" s="50">
        <v>0</v>
      </c>
      <c r="I40" s="50">
        <v>0</v>
      </c>
      <c r="J40" s="50">
        <f>J39*J38/10</f>
        <v>37.450000000000003</v>
      </c>
      <c r="K40" s="50">
        <f>K39*K38/10</f>
        <v>22</v>
      </c>
      <c r="L40" s="50">
        <v>0</v>
      </c>
      <c r="M40" s="50">
        <f>M39*M38/10</f>
        <v>2.5750000000000002</v>
      </c>
      <c r="N40" s="50">
        <v>0</v>
      </c>
      <c r="O40" s="143">
        <f t="shared" si="15"/>
        <v>105.12711864406781</v>
      </c>
      <c r="P40" s="141">
        <f t="shared" si="12"/>
        <v>-52.324999999999989</v>
      </c>
    </row>
    <row r="41" spans="1:17" s="17" customFormat="1" ht="17.100000000000001" customHeight="1">
      <c r="A41" s="65" t="s">
        <v>16</v>
      </c>
      <c r="B41" s="59" t="s">
        <v>47</v>
      </c>
      <c r="C41" s="66" t="s">
        <v>40</v>
      </c>
      <c r="D41" s="6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39"/>
      <c r="P41" s="141">
        <f t="shared" si="12"/>
        <v>0</v>
      </c>
    </row>
    <row r="42" spans="1:17" ht="17.100000000000001" customHeight="1">
      <c r="A42" s="42" t="s">
        <v>35</v>
      </c>
      <c r="B42" s="44" t="s">
        <v>11</v>
      </c>
      <c r="C42" s="33" t="s">
        <v>1</v>
      </c>
      <c r="D42" s="52">
        <v>760.67</v>
      </c>
      <c r="E42" s="50">
        <v>631</v>
      </c>
      <c r="F42" s="50">
        <f>H42+I42+J42+K42+L42+M42+N42</f>
        <v>624.5</v>
      </c>
      <c r="G42" s="50">
        <f>F42</f>
        <v>624.5</v>
      </c>
      <c r="H42" s="50">
        <v>124</v>
      </c>
      <c r="I42" s="50">
        <v>100</v>
      </c>
      <c r="J42" s="50">
        <v>47.5</v>
      </c>
      <c r="K42" s="50">
        <v>66</v>
      </c>
      <c r="L42" s="50">
        <v>96</v>
      </c>
      <c r="M42" s="50">
        <v>32</v>
      </c>
      <c r="N42" s="50">
        <v>159</v>
      </c>
      <c r="O42" s="143">
        <f t="shared" si="15"/>
        <v>98.969889064976229</v>
      </c>
      <c r="P42" s="141">
        <f t="shared" si="12"/>
        <v>-136.16999999999996</v>
      </c>
      <c r="Q42" s="123"/>
    </row>
    <row r="43" spans="1:17" ht="17.100000000000001" customHeight="1">
      <c r="A43" s="42" t="s">
        <v>36</v>
      </c>
      <c r="B43" s="44" t="s">
        <v>12</v>
      </c>
      <c r="C43" s="33" t="s">
        <v>2</v>
      </c>
      <c r="D43" s="52">
        <v>59.59</v>
      </c>
      <c r="E43" s="50">
        <f>E44/E42*10</f>
        <v>58.7797147385103</v>
      </c>
      <c r="F43" s="50">
        <f>F44/F42*10</f>
        <v>58.910328262610079</v>
      </c>
      <c r="G43" s="50">
        <v>58.93</v>
      </c>
      <c r="H43" s="50">
        <v>56</v>
      </c>
      <c r="I43" s="50">
        <v>57</v>
      </c>
      <c r="J43" s="50">
        <v>57</v>
      </c>
      <c r="K43" s="50">
        <v>61</v>
      </c>
      <c r="L43" s="50">
        <v>62</v>
      </c>
      <c r="M43" s="50">
        <v>60</v>
      </c>
      <c r="N43" s="50">
        <v>60</v>
      </c>
      <c r="O43" s="143">
        <f t="shared" si="15"/>
        <v>100.22220850284971</v>
      </c>
      <c r="P43" s="141">
        <f t="shared" si="12"/>
        <v>-0.67967173738992415</v>
      </c>
    </row>
    <row r="44" spans="1:17" ht="17.100000000000001" customHeight="1">
      <c r="A44" s="42" t="s">
        <v>35</v>
      </c>
      <c r="B44" s="44" t="s">
        <v>13</v>
      </c>
      <c r="C44" s="33" t="s">
        <v>37</v>
      </c>
      <c r="D44" s="56">
        <v>4532.67</v>
      </c>
      <c r="E44" s="50">
        <v>3709</v>
      </c>
      <c r="F44" s="50">
        <f>H44+I44+J44+K44+L44+M44+N44</f>
        <v>3678.95</v>
      </c>
      <c r="G44" s="50">
        <f>G42*G43/10</f>
        <v>3680.1784999999995</v>
      </c>
      <c r="H44" s="55">
        <f t="shared" ref="H44:N44" si="26">H43*H42/10</f>
        <v>694.4</v>
      </c>
      <c r="I44" s="50">
        <f t="shared" si="26"/>
        <v>570</v>
      </c>
      <c r="J44" s="50">
        <f t="shared" si="26"/>
        <v>270.75</v>
      </c>
      <c r="K44" s="50">
        <f t="shared" si="26"/>
        <v>402.6</v>
      </c>
      <c r="L44" s="50">
        <f t="shared" si="26"/>
        <v>595.20000000000005</v>
      </c>
      <c r="M44" s="50">
        <f t="shared" si="26"/>
        <v>192</v>
      </c>
      <c r="N44" s="50">
        <f t="shared" si="26"/>
        <v>954</v>
      </c>
      <c r="O44" s="143">
        <f t="shared" si="15"/>
        <v>99.189808573739541</v>
      </c>
      <c r="P44" s="141">
        <f t="shared" si="12"/>
        <v>-853.72000000000025</v>
      </c>
    </row>
    <row r="45" spans="1:17" s="17" customFormat="1" ht="17.100000000000001" customHeight="1">
      <c r="A45" s="65" t="s">
        <v>90</v>
      </c>
      <c r="B45" s="59" t="s">
        <v>39</v>
      </c>
      <c r="C45" s="69"/>
      <c r="D45" s="62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139"/>
      <c r="P45" s="141">
        <f t="shared" si="12"/>
        <v>0</v>
      </c>
    </row>
    <row r="46" spans="1:17" ht="17.100000000000001" customHeight="1">
      <c r="A46" s="42" t="s">
        <v>35</v>
      </c>
      <c r="B46" s="44" t="s">
        <v>11</v>
      </c>
      <c r="C46" s="33" t="s">
        <v>1</v>
      </c>
      <c r="D46" s="52">
        <v>248.19</v>
      </c>
      <c r="E46" s="50">
        <v>248</v>
      </c>
      <c r="F46" s="50">
        <f>H46+I46+J46+K46+L46+M46+N46</f>
        <v>141.11000000000001</v>
      </c>
      <c r="G46" s="50">
        <f>F46</f>
        <v>141.11000000000001</v>
      </c>
      <c r="H46" s="50">
        <v>15.5</v>
      </c>
      <c r="I46" s="50">
        <v>28.11</v>
      </c>
      <c r="J46" s="50">
        <v>15</v>
      </c>
      <c r="K46" s="50">
        <v>22</v>
      </c>
      <c r="L46" s="50">
        <v>36</v>
      </c>
      <c r="M46" s="55">
        <v>9.5</v>
      </c>
      <c r="N46" s="50">
        <v>15</v>
      </c>
      <c r="O46" s="143">
        <f t="shared" si="15"/>
        <v>56.899193548387103</v>
      </c>
      <c r="P46" s="141">
        <f t="shared" si="12"/>
        <v>-107.07999999999998</v>
      </c>
      <c r="Q46" s="123"/>
    </row>
    <row r="47" spans="1:17" ht="17.100000000000001" customHeight="1">
      <c r="A47" s="42" t="s">
        <v>36</v>
      </c>
      <c r="B47" s="44" t="s">
        <v>12</v>
      </c>
      <c r="C47" s="33" t="s">
        <v>2</v>
      </c>
      <c r="D47" s="52">
        <v>56.074471171280074</v>
      </c>
      <c r="E47" s="50">
        <f>E48/E46*10</f>
        <v>57.338709677419352</v>
      </c>
      <c r="F47" s="50">
        <f>F48/F46*10</f>
        <v>57.414570193466083</v>
      </c>
      <c r="G47" s="50">
        <v>57</v>
      </c>
      <c r="H47" s="50">
        <v>55</v>
      </c>
      <c r="I47" s="50">
        <v>57</v>
      </c>
      <c r="J47" s="50">
        <v>55</v>
      </c>
      <c r="K47" s="50">
        <v>60</v>
      </c>
      <c r="L47" s="50">
        <v>60</v>
      </c>
      <c r="M47" s="50">
        <v>56</v>
      </c>
      <c r="N47" s="50">
        <v>54</v>
      </c>
      <c r="O47" s="143">
        <f t="shared" si="15"/>
        <v>100.13230244711384</v>
      </c>
      <c r="P47" s="141">
        <f t="shared" si="12"/>
        <v>1.3400990221860098</v>
      </c>
    </row>
    <row r="48" spans="1:17" ht="17.100000000000001" customHeight="1">
      <c r="A48" s="42" t="s">
        <v>35</v>
      </c>
      <c r="B48" s="44" t="s">
        <v>13</v>
      </c>
      <c r="C48" s="33" t="s">
        <v>37</v>
      </c>
      <c r="D48" s="56">
        <v>1391.7123000000001</v>
      </c>
      <c r="E48" s="50">
        <v>1422</v>
      </c>
      <c r="F48" s="50">
        <f>H48+I48+J48+K48+L48+M48+N48</f>
        <v>810.17700000000002</v>
      </c>
      <c r="G48" s="50">
        <f>G46*G47/10</f>
        <v>804.327</v>
      </c>
      <c r="H48" s="50">
        <f t="shared" ref="H48:N48" si="27">H47*H46/10</f>
        <v>85.25</v>
      </c>
      <c r="I48" s="50">
        <f t="shared" si="27"/>
        <v>160.227</v>
      </c>
      <c r="J48" s="50">
        <f t="shared" si="27"/>
        <v>82.5</v>
      </c>
      <c r="K48" s="50">
        <f t="shared" si="27"/>
        <v>132</v>
      </c>
      <c r="L48" s="50">
        <f t="shared" si="27"/>
        <v>216</v>
      </c>
      <c r="M48" s="50">
        <f t="shared" si="27"/>
        <v>53.2</v>
      </c>
      <c r="N48" s="50">
        <f t="shared" si="27"/>
        <v>81</v>
      </c>
      <c r="O48" s="143">
        <f t="shared" si="15"/>
        <v>56.974472573839662</v>
      </c>
      <c r="P48" s="141">
        <f t="shared" si="12"/>
        <v>-581.53530000000012</v>
      </c>
    </row>
    <row r="49" spans="1:17" ht="17.100000000000001" customHeight="1">
      <c r="A49" s="31">
        <v>3</v>
      </c>
      <c r="B49" s="32" t="s">
        <v>70</v>
      </c>
      <c r="C49" s="43" t="s">
        <v>1</v>
      </c>
      <c r="D49" s="58">
        <v>4301.32</v>
      </c>
      <c r="E49" s="35">
        <f>E51+E55</f>
        <v>4075</v>
      </c>
      <c r="F49" s="35">
        <f>F51+F55</f>
        <v>4176.2</v>
      </c>
      <c r="G49" s="35">
        <f>G51+G55</f>
        <v>4176</v>
      </c>
      <c r="H49" s="35">
        <f>H51+H55</f>
        <v>251</v>
      </c>
      <c r="I49" s="35">
        <f t="shared" ref="I49:N49" si="28">I51+I55</f>
        <v>805</v>
      </c>
      <c r="J49" s="35">
        <f>J51+J55</f>
        <v>903</v>
      </c>
      <c r="K49" s="35">
        <f>K51+K55</f>
        <v>637</v>
      </c>
      <c r="L49" s="35">
        <f t="shared" si="28"/>
        <v>932</v>
      </c>
      <c r="M49" s="35">
        <f t="shared" si="28"/>
        <v>420</v>
      </c>
      <c r="N49" s="35">
        <f t="shared" si="28"/>
        <v>228.2</v>
      </c>
      <c r="O49" s="139">
        <f t="shared" si="15"/>
        <v>102.4834355828221</v>
      </c>
      <c r="P49" s="37">
        <f t="shared" si="12"/>
        <v>-125.11999999999989</v>
      </c>
    </row>
    <row r="50" spans="1:17" ht="17.100000000000001" customHeight="1">
      <c r="A50" s="51" t="s">
        <v>91</v>
      </c>
      <c r="B50" s="36" t="s">
        <v>17</v>
      </c>
      <c r="C50" s="33" t="s">
        <v>40</v>
      </c>
      <c r="D50" s="7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39"/>
      <c r="P50" s="141"/>
    </row>
    <row r="51" spans="1:17" ht="17.100000000000001" customHeight="1">
      <c r="A51" s="42" t="s">
        <v>35</v>
      </c>
      <c r="B51" s="44" t="s">
        <v>11</v>
      </c>
      <c r="C51" s="33" t="s">
        <v>1</v>
      </c>
      <c r="D51" s="52">
        <v>13.2</v>
      </c>
      <c r="E51" s="50">
        <v>13</v>
      </c>
      <c r="F51" s="50">
        <f>H51+I51+J51+K51+L51+M51+N51</f>
        <v>13.2</v>
      </c>
      <c r="G51" s="50">
        <v>13</v>
      </c>
      <c r="H51" s="50">
        <v>0</v>
      </c>
      <c r="I51" s="50">
        <v>5</v>
      </c>
      <c r="J51" s="50">
        <v>0</v>
      </c>
      <c r="K51" s="50">
        <v>0</v>
      </c>
      <c r="L51" s="50">
        <v>0</v>
      </c>
      <c r="M51" s="50">
        <v>5</v>
      </c>
      <c r="N51" s="50">
        <v>3.2</v>
      </c>
      <c r="O51" s="143">
        <f t="shared" si="15"/>
        <v>101.53846153846153</v>
      </c>
      <c r="P51" s="141">
        <f t="shared" si="12"/>
        <v>0</v>
      </c>
    </row>
    <row r="52" spans="1:17" ht="17.100000000000001" customHeight="1">
      <c r="A52" s="42" t="s">
        <v>36</v>
      </c>
      <c r="B52" s="44" t="s">
        <v>12</v>
      </c>
      <c r="C52" s="33" t="s">
        <v>2</v>
      </c>
      <c r="D52" s="52">
        <v>40.969696969696969</v>
      </c>
      <c r="E52" s="50">
        <v>41</v>
      </c>
      <c r="F52" s="50">
        <f>F53/F51*10</f>
        <v>44.378787878787882</v>
      </c>
      <c r="G52" s="50">
        <v>44.38</v>
      </c>
      <c r="H52" s="50">
        <v>0</v>
      </c>
      <c r="I52" s="50">
        <v>45</v>
      </c>
      <c r="J52" s="50">
        <v>0</v>
      </c>
      <c r="K52" s="50">
        <v>0</v>
      </c>
      <c r="L52" s="50">
        <v>0</v>
      </c>
      <c r="M52" s="50">
        <v>44</v>
      </c>
      <c r="N52" s="50">
        <v>44</v>
      </c>
      <c r="O52" s="143">
        <f t="shared" si="15"/>
        <v>108.2409460458241</v>
      </c>
      <c r="P52" s="141">
        <f t="shared" si="12"/>
        <v>3.4090909090909136</v>
      </c>
    </row>
    <row r="53" spans="1:17" ht="17.100000000000001" customHeight="1">
      <c r="A53" s="42" t="s">
        <v>35</v>
      </c>
      <c r="B53" s="44" t="s">
        <v>13</v>
      </c>
      <c r="C53" s="33" t="s">
        <v>37</v>
      </c>
      <c r="D53" s="52">
        <v>54.08</v>
      </c>
      <c r="E53" s="50">
        <v>54</v>
      </c>
      <c r="F53" s="50">
        <f>H53+I53+J53+K53+L53+M53+N53</f>
        <v>58.58</v>
      </c>
      <c r="G53" s="50">
        <f>G51*G52/10</f>
        <v>57.694000000000003</v>
      </c>
      <c r="H53" s="50">
        <f t="shared" ref="H53:N53" si="29">H52*H51/10</f>
        <v>0</v>
      </c>
      <c r="I53" s="50">
        <f t="shared" si="29"/>
        <v>22.5</v>
      </c>
      <c r="J53" s="50">
        <f t="shared" si="29"/>
        <v>0</v>
      </c>
      <c r="K53" s="50">
        <f t="shared" si="29"/>
        <v>0</v>
      </c>
      <c r="L53" s="50">
        <f t="shared" si="29"/>
        <v>0</v>
      </c>
      <c r="M53" s="50">
        <f t="shared" si="29"/>
        <v>22</v>
      </c>
      <c r="N53" s="50">
        <f t="shared" si="29"/>
        <v>14.080000000000002</v>
      </c>
      <c r="O53" s="143">
        <f t="shared" si="15"/>
        <v>108.48148148148147</v>
      </c>
      <c r="P53" s="141">
        <f t="shared" si="12"/>
        <v>4.5</v>
      </c>
    </row>
    <row r="54" spans="1:17" ht="17.100000000000001" customHeight="1">
      <c r="A54" s="51" t="s">
        <v>92</v>
      </c>
      <c r="B54" s="36" t="s">
        <v>18</v>
      </c>
      <c r="C54" s="33" t="s">
        <v>40</v>
      </c>
      <c r="D54" s="7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139"/>
      <c r="P54" s="141">
        <f t="shared" si="12"/>
        <v>0</v>
      </c>
    </row>
    <row r="55" spans="1:17" ht="17.100000000000001" customHeight="1">
      <c r="A55" s="42" t="s">
        <v>35</v>
      </c>
      <c r="B55" s="44" t="s">
        <v>11</v>
      </c>
      <c r="C55" s="33" t="s">
        <v>1</v>
      </c>
      <c r="D55" s="56">
        <v>4288.12</v>
      </c>
      <c r="E55" s="50">
        <v>4062</v>
      </c>
      <c r="F55" s="50">
        <f>H55+I55+J55+K55+L55+M55+N55</f>
        <v>4163</v>
      </c>
      <c r="G55" s="50">
        <f>F55</f>
        <v>4163</v>
      </c>
      <c r="H55" s="50">
        <v>251</v>
      </c>
      <c r="I55" s="50">
        <v>800</v>
      </c>
      <c r="J55" s="50">
        <f>903</f>
        <v>903</v>
      </c>
      <c r="K55" s="50">
        <f>585+52</f>
        <v>637</v>
      </c>
      <c r="L55" s="50">
        <v>932</v>
      </c>
      <c r="M55" s="50">
        <v>415</v>
      </c>
      <c r="N55" s="50">
        <v>225</v>
      </c>
      <c r="O55" s="143">
        <f t="shared" si="15"/>
        <v>102.48645987198424</v>
      </c>
      <c r="P55" s="37">
        <f t="shared" si="12"/>
        <v>-125.11999999999989</v>
      </c>
      <c r="Q55" s="123"/>
    </row>
    <row r="56" spans="1:17" ht="17.100000000000001" customHeight="1">
      <c r="A56" s="42" t="s">
        <v>35</v>
      </c>
      <c r="B56" s="44" t="s">
        <v>12</v>
      </c>
      <c r="C56" s="33" t="s">
        <v>2</v>
      </c>
      <c r="D56" s="52">
        <v>96.42881796684793</v>
      </c>
      <c r="E56" s="50">
        <v>96</v>
      </c>
      <c r="F56" s="50">
        <f>F57/F55*10</f>
        <v>0</v>
      </c>
      <c r="G56" s="50">
        <v>96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143">
        <f t="shared" si="15"/>
        <v>0</v>
      </c>
      <c r="P56" s="141">
        <f t="shared" si="12"/>
        <v>-96.42881796684793</v>
      </c>
    </row>
    <row r="57" spans="1:17" ht="17.100000000000001" customHeight="1">
      <c r="A57" s="42" t="s">
        <v>35</v>
      </c>
      <c r="B57" s="44" t="s">
        <v>13</v>
      </c>
      <c r="C57" s="33" t="s">
        <v>37</v>
      </c>
      <c r="D57" s="56">
        <v>41349.834289999999</v>
      </c>
      <c r="E57" s="50">
        <v>38980</v>
      </c>
      <c r="F57" s="50">
        <f>H57+I57+J57+K57+L57+M57+N57</f>
        <v>0</v>
      </c>
      <c r="G57" s="50">
        <f>G55*G56/10</f>
        <v>39964.800000000003</v>
      </c>
      <c r="H57" s="50">
        <f t="shared" ref="H57:N57" si="30">H56*H55/10</f>
        <v>0</v>
      </c>
      <c r="I57" s="50">
        <v>0</v>
      </c>
      <c r="J57" s="50">
        <f t="shared" si="30"/>
        <v>0</v>
      </c>
      <c r="K57" s="50">
        <f t="shared" si="30"/>
        <v>0</v>
      </c>
      <c r="L57" s="50">
        <f t="shared" si="30"/>
        <v>0</v>
      </c>
      <c r="M57" s="50">
        <f t="shared" si="30"/>
        <v>0</v>
      </c>
      <c r="N57" s="50">
        <f t="shared" si="30"/>
        <v>0</v>
      </c>
      <c r="O57" s="143">
        <f t="shared" si="15"/>
        <v>0</v>
      </c>
      <c r="P57" s="141">
        <f t="shared" si="12"/>
        <v>-41349.834289999999</v>
      </c>
    </row>
    <row r="58" spans="1:17" ht="17.100000000000001" customHeight="1">
      <c r="A58" s="31">
        <v>4</v>
      </c>
      <c r="B58" s="32" t="s">
        <v>67</v>
      </c>
      <c r="C58" s="43" t="s">
        <v>1</v>
      </c>
      <c r="D58" s="72">
        <v>239.97000000000003</v>
      </c>
      <c r="E58" s="35">
        <v>240</v>
      </c>
      <c r="F58" s="35">
        <f t="shared" ref="F58:N58" si="31">F60+F64</f>
        <v>241.5</v>
      </c>
      <c r="G58" s="35">
        <f>G60+G64</f>
        <v>245</v>
      </c>
      <c r="H58" s="35">
        <f t="shared" si="31"/>
        <v>37</v>
      </c>
      <c r="I58" s="35">
        <f t="shared" si="31"/>
        <v>38.5</v>
      </c>
      <c r="J58" s="35">
        <v>22.25</v>
      </c>
      <c r="K58" s="35">
        <f t="shared" si="31"/>
        <v>52</v>
      </c>
      <c r="L58" s="35">
        <f t="shared" si="31"/>
        <v>43</v>
      </c>
      <c r="M58" s="35">
        <f t="shared" si="31"/>
        <v>17</v>
      </c>
      <c r="N58" s="35">
        <f t="shared" si="31"/>
        <v>31</v>
      </c>
      <c r="O58" s="139">
        <f t="shared" si="15"/>
        <v>100.62500000000001</v>
      </c>
      <c r="P58" s="141">
        <f t="shared" si="12"/>
        <v>1.5299999999999727</v>
      </c>
      <c r="Q58" s="123"/>
    </row>
    <row r="59" spans="1:17" ht="17.100000000000001" customHeight="1">
      <c r="A59" s="51" t="s">
        <v>93</v>
      </c>
      <c r="B59" s="36" t="s">
        <v>19</v>
      </c>
      <c r="C59" s="33" t="s">
        <v>40</v>
      </c>
      <c r="D59" s="7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139"/>
      <c r="P59" s="141">
        <f t="shared" si="12"/>
        <v>0</v>
      </c>
    </row>
    <row r="60" spans="1:17" ht="17.100000000000001" customHeight="1">
      <c r="A60" s="42" t="s">
        <v>35</v>
      </c>
      <c r="B60" s="44" t="s">
        <v>11</v>
      </c>
      <c r="C60" s="33" t="s">
        <v>1</v>
      </c>
      <c r="D60" s="52">
        <v>134.99</v>
      </c>
      <c r="E60" s="50">
        <v>135</v>
      </c>
      <c r="F60" s="50">
        <f>H60+I60+J60+K60+L60+M60+N60</f>
        <v>136</v>
      </c>
      <c r="G60" s="50">
        <v>140</v>
      </c>
      <c r="H60" s="55">
        <v>22.5</v>
      </c>
      <c r="I60" s="50">
        <v>22.5</v>
      </c>
      <c r="J60" s="50">
        <v>13</v>
      </c>
      <c r="K60" s="50">
        <v>26</v>
      </c>
      <c r="L60" s="50">
        <f>22</f>
        <v>22</v>
      </c>
      <c r="M60" s="50">
        <v>8</v>
      </c>
      <c r="N60" s="50">
        <v>22</v>
      </c>
      <c r="O60" s="143">
        <f t="shared" si="15"/>
        <v>100.74074074074073</v>
      </c>
      <c r="P60" s="141">
        <f t="shared" si="12"/>
        <v>1.0099999999999909</v>
      </c>
    </row>
    <row r="61" spans="1:17" ht="17.100000000000001" customHeight="1">
      <c r="A61" s="42" t="s">
        <v>36</v>
      </c>
      <c r="B61" s="44" t="s">
        <v>12</v>
      </c>
      <c r="C61" s="33" t="s">
        <v>2</v>
      </c>
      <c r="D61" s="52">
        <v>17.826446403437291</v>
      </c>
      <c r="E61" s="50">
        <v>18</v>
      </c>
      <c r="F61" s="50">
        <f>F62/F60*10</f>
        <v>19.442058823529415</v>
      </c>
      <c r="G61" s="50">
        <v>17.68</v>
      </c>
      <c r="H61" s="50">
        <v>17</v>
      </c>
      <c r="I61" s="50">
        <v>20</v>
      </c>
      <c r="J61" s="50">
        <v>16</v>
      </c>
      <c r="K61" s="50">
        <v>25</v>
      </c>
      <c r="L61" s="50">
        <v>19.21</v>
      </c>
      <c r="M61" s="50">
        <v>21</v>
      </c>
      <c r="N61" s="50">
        <v>16.5</v>
      </c>
      <c r="O61" s="143">
        <f t="shared" si="15"/>
        <v>108.01143790849675</v>
      </c>
      <c r="P61" s="141">
        <f t="shared" si="12"/>
        <v>1.6156124200921234</v>
      </c>
    </row>
    <row r="62" spans="1:17" ht="17.100000000000001" customHeight="1">
      <c r="A62" s="42" t="s">
        <v>35</v>
      </c>
      <c r="B62" s="44" t="s">
        <v>13</v>
      </c>
      <c r="C62" s="33" t="s">
        <v>37</v>
      </c>
      <c r="D62" s="73">
        <v>240.63920000000002</v>
      </c>
      <c r="E62" s="50">
        <v>239</v>
      </c>
      <c r="F62" s="50">
        <f>H62+I62+J62+K62+L62+M62+N62</f>
        <v>264.41200000000003</v>
      </c>
      <c r="G62" s="50">
        <f>G60*G61/10</f>
        <v>247.51999999999998</v>
      </c>
      <c r="H62" s="50">
        <f t="shared" ref="H62:N62" si="32">H61*H60/10</f>
        <v>38.25</v>
      </c>
      <c r="I62" s="50">
        <f t="shared" si="32"/>
        <v>45</v>
      </c>
      <c r="J62" s="50">
        <f t="shared" si="32"/>
        <v>20.8</v>
      </c>
      <c r="K62" s="50">
        <f t="shared" si="32"/>
        <v>65</v>
      </c>
      <c r="L62" s="50">
        <f t="shared" si="32"/>
        <v>42.262</v>
      </c>
      <c r="M62" s="50">
        <f t="shared" si="32"/>
        <v>16.8</v>
      </c>
      <c r="N62" s="50">
        <f t="shared" si="32"/>
        <v>36.299999999999997</v>
      </c>
      <c r="O62" s="143">
        <f t="shared" si="15"/>
        <v>110.63263598326361</v>
      </c>
      <c r="P62" s="141">
        <f t="shared" si="12"/>
        <v>23.772800000000018</v>
      </c>
    </row>
    <row r="63" spans="1:17" ht="17.100000000000001" customHeight="1">
      <c r="A63" s="51" t="s">
        <v>94</v>
      </c>
      <c r="B63" s="36" t="s">
        <v>20</v>
      </c>
      <c r="C63" s="33" t="s">
        <v>40</v>
      </c>
      <c r="D63" s="71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9"/>
      <c r="P63" s="141">
        <f t="shared" si="12"/>
        <v>0</v>
      </c>
    </row>
    <row r="64" spans="1:17" ht="17.100000000000001" customHeight="1">
      <c r="A64" s="42" t="s">
        <v>35</v>
      </c>
      <c r="B64" s="44" t="s">
        <v>11</v>
      </c>
      <c r="C64" s="33" t="s">
        <v>1</v>
      </c>
      <c r="D64" s="74">
        <v>104.98</v>
      </c>
      <c r="E64" s="50">
        <v>105</v>
      </c>
      <c r="F64" s="50">
        <f>H64+I64+J64+K64+L64+M64+N64</f>
        <v>105.5</v>
      </c>
      <c r="G64" s="50">
        <v>105</v>
      </c>
      <c r="H64" s="55">
        <v>14.5</v>
      </c>
      <c r="I64" s="50">
        <v>16</v>
      </c>
      <c r="J64" s="50">
        <v>10</v>
      </c>
      <c r="K64" s="50">
        <v>26</v>
      </c>
      <c r="L64" s="50">
        <v>21</v>
      </c>
      <c r="M64" s="50">
        <v>9</v>
      </c>
      <c r="N64" s="50">
        <v>9</v>
      </c>
      <c r="O64" s="143">
        <f t="shared" si="15"/>
        <v>100.47619047619048</v>
      </c>
      <c r="P64" s="141">
        <f t="shared" si="12"/>
        <v>0.51999999999999602</v>
      </c>
    </row>
    <row r="65" spans="1:17" ht="17.100000000000001" customHeight="1">
      <c r="A65" s="42" t="s">
        <v>36</v>
      </c>
      <c r="B65" s="44" t="s">
        <v>12</v>
      </c>
      <c r="C65" s="33" t="s">
        <v>2</v>
      </c>
      <c r="D65" s="73">
        <v>15.184343684511337</v>
      </c>
      <c r="E65" s="50">
        <v>15</v>
      </c>
      <c r="F65" s="50">
        <f>F66/F64*10</f>
        <v>14.861090047393365</v>
      </c>
      <c r="G65" s="50">
        <v>14.68</v>
      </c>
      <c r="H65" s="57">
        <v>11.47</v>
      </c>
      <c r="I65" s="50">
        <v>17.600000000000001</v>
      </c>
      <c r="J65" s="50">
        <v>13</v>
      </c>
      <c r="K65" s="50">
        <v>14.5</v>
      </c>
      <c r="L65" s="50">
        <v>16.329999999999998</v>
      </c>
      <c r="M65" s="50">
        <v>18</v>
      </c>
      <c r="N65" s="50">
        <v>12</v>
      </c>
      <c r="O65" s="143">
        <f t="shared" si="15"/>
        <v>99.073933649289103</v>
      </c>
      <c r="P65" s="141">
        <f t="shared" si="12"/>
        <v>-0.32325363711797195</v>
      </c>
    </row>
    <row r="66" spans="1:17" ht="17.100000000000001" customHeight="1">
      <c r="A66" s="42" t="s">
        <v>35</v>
      </c>
      <c r="B66" s="44" t="s">
        <v>13</v>
      </c>
      <c r="C66" s="33" t="s">
        <v>37</v>
      </c>
      <c r="D66" s="73">
        <v>159.40524000000002</v>
      </c>
      <c r="E66" s="50">
        <v>154</v>
      </c>
      <c r="F66" s="50">
        <f>H66+I66+J66+K66+L66+M66+N66</f>
        <v>156.78449999999998</v>
      </c>
      <c r="G66" s="50">
        <f>G64*G65/10</f>
        <v>154.13999999999999</v>
      </c>
      <c r="H66" s="57">
        <f t="shared" ref="H66:N66" si="33">H65*H64/10</f>
        <v>16.631499999999999</v>
      </c>
      <c r="I66" s="50">
        <f t="shared" si="33"/>
        <v>28.160000000000004</v>
      </c>
      <c r="J66" s="50">
        <f t="shared" si="33"/>
        <v>13</v>
      </c>
      <c r="K66" s="50">
        <f t="shared" si="33"/>
        <v>37.700000000000003</v>
      </c>
      <c r="L66" s="50">
        <f t="shared" si="33"/>
        <v>34.292999999999992</v>
      </c>
      <c r="M66" s="50">
        <f t="shared" si="33"/>
        <v>16.2</v>
      </c>
      <c r="N66" s="50">
        <f t="shared" si="33"/>
        <v>10.8</v>
      </c>
      <c r="O66" s="143">
        <f t="shared" si="15"/>
        <v>101.80811688311687</v>
      </c>
      <c r="P66" s="141">
        <f t="shared" si="12"/>
        <v>-2.6207400000000405</v>
      </c>
    </row>
    <row r="67" spans="1:17" ht="17.100000000000001" customHeight="1">
      <c r="A67" s="31">
        <v>5</v>
      </c>
      <c r="B67" s="32" t="s">
        <v>73</v>
      </c>
      <c r="C67" s="43" t="s">
        <v>1</v>
      </c>
      <c r="D67" s="72">
        <v>55.95</v>
      </c>
      <c r="E67" s="35">
        <v>56</v>
      </c>
      <c r="F67" s="35">
        <f t="shared" ref="F67:N67" si="34">F69+F74</f>
        <v>56.45</v>
      </c>
      <c r="G67" s="35">
        <f t="shared" si="34"/>
        <v>56</v>
      </c>
      <c r="H67" s="35">
        <f t="shared" si="34"/>
        <v>0</v>
      </c>
      <c r="I67" s="35">
        <f t="shared" si="34"/>
        <v>44.15</v>
      </c>
      <c r="J67" s="35">
        <f t="shared" si="34"/>
        <v>0</v>
      </c>
      <c r="K67" s="35">
        <f t="shared" si="34"/>
        <v>5</v>
      </c>
      <c r="L67" s="35">
        <f t="shared" si="34"/>
        <v>6</v>
      </c>
      <c r="M67" s="35">
        <f t="shared" si="34"/>
        <v>1.3</v>
      </c>
      <c r="N67" s="35">
        <f t="shared" si="34"/>
        <v>0</v>
      </c>
      <c r="O67" s="139">
        <f t="shared" si="15"/>
        <v>100.80357142857143</v>
      </c>
      <c r="P67" s="141">
        <f t="shared" si="12"/>
        <v>0.5</v>
      </c>
      <c r="Q67" s="123"/>
    </row>
    <row r="68" spans="1:17" ht="17.100000000000001" customHeight="1">
      <c r="A68" s="51" t="s">
        <v>95</v>
      </c>
      <c r="B68" s="36" t="s">
        <v>21</v>
      </c>
      <c r="C68" s="33" t="s">
        <v>40</v>
      </c>
      <c r="D68" s="7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39"/>
      <c r="P68" s="141"/>
    </row>
    <row r="69" spans="1:17" ht="17.100000000000001" customHeight="1">
      <c r="A69" s="42" t="s">
        <v>35</v>
      </c>
      <c r="B69" s="44" t="s">
        <v>11</v>
      </c>
      <c r="C69" s="33" t="s">
        <v>1</v>
      </c>
      <c r="D69" s="52">
        <v>39.15</v>
      </c>
      <c r="E69" s="50">
        <v>39</v>
      </c>
      <c r="F69" s="50">
        <f>H69+I69+J69+K69+L69+M69+N69</f>
        <v>39.15</v>
      </c>
      <c r="G69" s="50">
        <v>39</v>
      </c>
      <c r="H69" s="50">
        <v>0</v>
      </c>
      <c r="I69" s="50">
        <v>39.15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143">
        <f t="shared" si="15"/>
        <v>100.38461538461539</v>
      </c>
      <c r="P69" s="141">
        <f t="shared" si="12"/>
        <v>0</v>
      </c>
    </row>
    <row r="70" spans="1:17" ht="17.100000000000001" customHeight="1">
      <c r="A70" s="42" t="s">
        <v>36</v>
      </c>
      <c r="B70" s="44" t="s">
        <v>12</v>
      </c>
      <c r="C70" s="33" t="s">
        <v>2</v>
      </c>
      <c r="D70" s="52">
        <v>580.58000000000004</v>
      </c>
      <c r="E70" s="50">
        <v>581</v>
      </c>
      <c r="F70" s="50">
        <f>F71/F69*10</f>
        <v>0</v>
      </c>
      <c r="G70" s="50">
        <v>580.6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143">
        <f t="shared" si="15"/>
        <v>0</v>
      </c>
      <c r="P70" s="141">
        <f t="shared" si="12"/>
        <v>-580.58000000000004</v>
      </c>
    </row>
    <row r="71" spans="1:17" ht="17.100000000000001" customHeight="1">
      <c r="A71" s="42" t="s">
        <v>35</v>
      </c>
      <c r="B71" s="44" t="s">
        <v>13</v>
      </c>
      <c r="C71" s="33" t="s">
        <v>37</v>
      </c>
      <c r="D71" s="56">
        <v>2272.9707000000003</v>
      </c>
      <c r="E71" s="50">
        <v>2264</v>
      </c>
      <c r="F71" s="50">
        <f>H71+I71+J71+K71+L71+M71+N71</f>
        <v>0</v>
      </c>
      <c r="G71" s="50">
        <f>G69*G70/10</f>
        <v>2264.34</v>
      </c>
      <c r="H71" s="50">
        <f t="shared" ref="H71:N71" si="35">H70*H69/10</f>
        <v>0</v>
      </c>
      <c r="I71" s="50">
        <f t="shared" si="35"/>
        <v>0</v>
      </c>
      <c r="J71" s="50">
        <f t="shared" si="35"/>
        <v>0</v>
      </c>
      <c r="K71" s="50">
        <f t="shared" si="35"/>
        <v>0</v>
      </c>
      <c r="L71" s="50">
        <f t="shared" si="35"/>
        <v>0</v>
      </c>
      <c r="M71" s="50">
        <f t="shared" si="35"/>
        <v>0</v>
      </c>
      <c r="N71" s="50">
        <f t="shared" si="35"/>
        <v>0</v>
      </c>
      <c r="O71" s="143">
        <f t="shared" si="15"/>
        <v>0</v>
      </c>
      <c r="P71" s="141">
        <f t="shared" si="12"/>
        <v>-2272.9707000000003</v>
      </c>
    </row>
    <row r="72" spans="1:17" ht="17.100000000000001" customHeight="1">
      <c r="A72" s="42"/>
      <c r="B72" s="59" t="s">
        <v>72</v>
      </c>
      <c r="C72" s="33"/>
      <c r="D72" s="61"/>
      <c r="E72" s="50">
        <f>SUM(H72:N72)</f>
        <v>0</v>
      </c>
      <c r="F72" s="50">
        <f>H72+I72+J72+K72+L72+M72+N72</f>
        <v>0</v>
      </c>
      <c r="G72" s="50"/>
      <c r="H72" s="50">
        <v>0</v>
      </c>
      <c r="I72" s="50">
        <v>0</v>
      </c>
      <c r="J72" s="50">
        <f>J69</f>
        <v>0</v>
      </c>
      <c r="K72" s="50">
        <f>K69</f>
        <v>0</v>
      </c>
      <c r="L72" s="50">
        <v>0</v>
      </c>
      <c r="M72" s="50">
        <f>M69</f>
        <v>0</v>
      </c>
      <c r="N72" s="50">
        <f>N69-0</f>
        <v>0</v>
      </c>
      <c r="O72" s="139"/>
      <c r="P72" s="141">
        <f t="shared" si="12"/>
        <v>0</v>
      </c>
    </row>
    <row r="73" spans="1:17" ht="17.100000000000001" customHeight="1">
      <c r="A73" s="51" t="s">
        <v>96</v>
      </c>
      <c r="B73" s="36" t="s">
        <v>15</v>
      </c>
      <c r="C73" s="33" t="s">
        <v>40</v>
      </c>
      <c r="D73" s="7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139"/>
      <c r="P73" s="141"/>
    </row>
    <row r="74" spans="1:17" ht="17.100000000000001" customHeight="1">
      <c r="A74" s="42" t="s">
        <v>35</v>
      </c>
      <c r="B74" s="44" t="s">
        <v>11</v>
      </c>
      <c r="C74" s="33" t="s">
        <v>1</v>
      </c>
      <c r="D74" s="52">
        <v>16.8</v>
      </c>
      <c r="E74" s="50">
        <v>17</v>
      </c>
      <c r="F74" s="50">
        <f>H74+I74+J74+K74+L74+M74+N74</f>
        <v>17.3</v>
      </c>
      <c r="G74" s="50">
        <v>17</v>
      </c>
      <c r="H74" s="50">
        <v>0</v>
      </c>
      <c r="I74" s="50">
        <v>5</v>
      </c>
      <c r="J74" s="50">
        <v>0</v>
      </c>
      <c r="K74" s="50">
        <v>5</v>
      </c>
      <c r="L74" s="50">
        <v>6</v>
      </c>
      <c r="M74" s="55">
        <v>1.3</v>
      </c>
      <c r="N74" s="50">
        <v>0</v>
      </c>
      <c r="O74" s="143">
        <f t="shared" si="15"/>
        <v>101.76470588235293</v>
      </c>
      <c r="P74" s="141">
        <f t="shared" si="12"/>
        <v>0.5</v>
      </c>
    </row>
    <row r="75" spans="1:17" ht="17.100000000000001" customHeight="1">
      <c r="A75" s="42" t="s">
        <v>36</v>
      </c>
      <c r="B75" s="44" t="s">
        <v>12</v>
      </c>
      <c r="C75" s="33" t="s">
        <v>2</v>
      </c>
      <c r="D75" s="74">
        <v>13.098214285714285</v>
      </c>
      <c r="E75" s="50">
        <v>13</v>
      </c>
      <c r="F75" s="50">
        <f>F76/F74*10</f>
        <v>13.204624277456647</v>
      </c>
      <c r="G75" s="50">
        <v>13.4</v>
      </c>
      <c r="H75" s="50">
        <v>0</v>
      </c>
      <c r="I75" s="50">
        <v>13.5</v>
      </c>
      <c r="J75" s="50">
        <v>0</v>
      </c>
      <c r="K75" s="50">
        <v>13</v>
      </c>
      <c r="L75" s="50">
        <v>13</v>
      </c>
      <c r="M75" s="50">
        <f>13+0.8</f>
        <v>13.8</v>
      </c>
      <c r="N75" s="50">
        <v>0</v>
      </c>
      <c r="O75" s="143">
        <f t="shared" si="15"/>
        <v>101.57403290351267</v>
      </c>
      <c r="P75" s="141">
        <f t="shared" si="12"/>
        <v>0.10640999174236221</v>
      </c>
    </row>
    <row r="76" spans="1:17" ht="17.100000000000001" customHeight="1">
      <c r="A76" s="42" t="s">
        <v>35</v>
      </c>
      <c r="B76" s="44" t="s">
        <v>13</v>
      </c>
      <c r="C76" s="33" t="s">
        <v>37</v>
      </c>
      <c r="D76" s="52">
        <v>22.004999999999999</v>
      </c>
      <c r="E76" s="50">
        <v>22</v>
      </c>
      <c r="F76" s="50">
        <f>H76+I76+J76+K76+L76+M76+N76</f>
        <v>22.844000000000001</v>
      </c>
      <c r="G76" s="50">
        <f>G74*G75/10</f>
        <v>22.78</v>
      </c>
      <c r="H76" s="50">
        <f t="shared" ref="H76:N76" si="36">H75*H74/10</f>
        <v>0</v>
      </c>
      <c r="I76" s="50">
        <f t="shared" si="36"/>
        <v>6.75</v>
      </c>
      <c r="J76" s="50">
        <f t="shared" si="36"/>
        <v>0</v>
      </c>
      <c r="K76" s="50">
        <f t="shared" si="36"/>
        <v>6.5</v>
      </c>
      <c r="L76" s="50">
        <f t="shared" si="36"/>
        <v>7.8</v>
      </c>
      <c r="M76" s="50">
        <f t="shared" si="36"/>
        <v>1.794</v>
      </c>
      <c r="N76" s="50">
        <f t="shared" si="36"/>
        <v>0</v>
      </c>
      <c r="O76" s="143">
        <f t="shared" si="15"/>
        <v>103.83636363636364</v>
      </c>
      <c r="P76" s="141">
        <f t="shared" si="12"/>
        <v>0.83900000000000219</v>
      </c>
    </row>
    <row r="77" spans="1:17" ht="17.100000000000001" customHeight="1">
      <c r="A77" s="31" t="s">
        <v>31</v>
      </c>
      <c r="B77" s="32" t="s">
        <v>132</v>
      </c>
      <c r="C77" s="43" t="s">
        <v>1</v>
      </c>
      <c r="D77" s="75">
        <f>D79+D85+D90+D95+D100</f>
        <v>5360.51</v>
      </c>
      <c r="E77" s="75">
        <f t="shared" ref="E77:N77" si="37">E79+E85+E90+E95+E100</f>
        <v>5820</v>
      </c>
      <c r="F77" s="75">
        <f t="shared" si="37"/>
        <v>5867.3</v>
      </c>
      <c r="G77" s="75">
        <f t="shared" si="37"/>
        <v>5867.3</v>
      </c>
      <c r="H77" s="75">
        <f t="shared" si="37"/>
        <v>134.19999999999999</v>
      </c>
      <c r="I77" s="75">
        <f t="shared" si="37"/>
        <v>868.97000000000014</v>
      </c>
      <c r="J77" s="75">
        <f t="shared" si="37"/>
        <v>785.5</v>
      </c>
      <c r="K77" s="75">
        <f t="shared" si="37"/>
        <v>2702.7</v>
      </c>
      <c r="L77" s="75">
        <f t="shared" si="37"/>
        <v>587.43000000000006</v>
      </c>
      <c r="M77" s="75">
        <f t="shared" si="37"/>
        <v>540.88000000000011</v>
      </c>
      <c r="N77" s="75">
        <f t="shared" si="37"/>
        <v>247.62</v>
      </c>
      <c r="O77" s="139">
        <f t="shared" si="15"/>
        <v>100.81271477663229</v>
      </c>
      <c r="P77" s="37">
        <f t="shared" ref="P77:P140" si="38">F77-D77</f>
        <v>506.78999999999996</v>
      </c>
      <c r="Q77" s="123"/>
    </row>
    <row r="78" spans="1:17" ht="17.100000000000001" customHeight="1">
      <c r="A78" s="51">
        <v>1</v>
      </c>
      <c r="B78" s="36" t="s">
        <v>22</v>
      </c>
      <c r="C78" s="33" t="s">
        <v>40</v>
      </c>
      <c r="D78" s="7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39"/>
      <c r="P78" s="141">
        <f t="shared" si="38"/>
        <v>0</v>
      </c>
    </row>
    <row r="79" spans="1:17" ht="17.100000000000001" customHeight="1">
      <c r="A79" s="42" t="s">
        <v>35</v>
      </c>
      <c r="B79" s="44" t="s">
        <v>11</v>
      </c>
      <c r="C79" s="33" t="s">
        <v>1</v>
      </c>
      <c r="D79" s="71">
        <v>813.98</v>
      </c>
      <c r="E79" s="50">
        <v>814</v>
      </c>
      <c r="F79" s="50">
        <f>H79+I79+J79+K79+L79+M79+N79</f>
        <v>825.3</v>
      </c>
      <c r="G79" s="50">
        <f>F79</f>
        <v>825.3</v>
      </c>
      <c r="H79" s="50">
        <v>38.299999999999997</v>
      </c>
      <c r="I79" s="50">
        <v>49</v>
      </c>
      <c r="J79" s="50">
        <v>73</v>
      </c>
      <c r="K79" s="50">
        <f>59+1</f>
        <v>60</v>
      </c>
      <c r="L79" s="50">
        <f>224+9</f>
        <v>233</v>
      </c>
      <c r="M79" s="50">
        <f>252+4</f>
        <v>256</v>
      </c>
      <c r="N79" s="50">
        <f>112.8+3.2</f>
        <v>116</v>
      </c>
      <c r="O79" s="143">
        <f t="shared" si="15"/>
        <v>101.38820638820638</v>
      </c>
      <c r="P79" s="141">
        <f t="shared" si="38"/>
        <v>11.319999999999936</v>
      </c>
      <c r="Q79" s="123"/>
    </row>
    <row r="80" spans="1:17" ht="17.100000000000001" customHeight="1">
      <c r="A80" s="42" t="s">
        <v>3</v>
      </c>
      <c r="B80" s="44" t="s">
        <v>75</v>
      </c>
      <c r="C80" s="33" t="s">
        <v>1</v>
      </c>
      <c r="D80" s="71">
        <v>497.97</v>
      </c>
      <c r="E80" s="50">
        <v>471</v>
      </c>
      <c r="F80" s="50">
        <f>H80+I80+J80+K80+L80+M80+N80</f>
        <v>513.4</v>
      </c>
      <c r="G80" s="50">
        <v>498</v>
      </c>
      <c r="H80" s="50">
        <v>10.5</v>
      </c>
      <c r="I80" s="50">
        <v>25</v>
      </c>
      <c r="J80" s="50">
        <v>18.899999999999999</v>
      </c>
      <c r="K80" s="50">
        <v>28</v>
      </c>
      <c r="L80" s="50">
        <v>96</v>
      </c>
      <c r="M80" s="50">
        <v>230</v>
      </c>
      <c r="N80" s="50">
        <v>105</v>
      </c>
      <c r="O80" s="143">
        <f t="shared" ref="O80:O143" si="39">F80/E80*100</f>
        <v>109.00212314225053</v>
      </c>
      <c r="P80" s="141">
        <f t="shared" si="38"/>
        <v>15.42999999999995</v>
      </c>
    </row>
    <row r="81" spans="1:17" ht="17.100000000000001" customHeight="1">
      <c r="A81" s="42" t="s">
        <v>36</v>
      </c>
      <c r="B81" s="44" t="s">
        <v>12</v>
      </c>
      <c r="C81" s="33" t="s">
        <v>2</v>
      </c>
      <c r="D81" s="71">
        <v>11.841345864208686</v>
      </c>
      <c r="E81" s="50">
        <v>10</v>
      </c>
      <c r="F81" s="50">
        <f>F82/F80*10</f>
        <v>9.9181924425399295</v>
      </c>
      <c r="G81" s="50">
        <v>11.4</v>
      </c>
      <c r="H81" s="50">
        <v>8</v>
      </c>
      <c r="I81" s="50">
        <v>9</v>
      </c>
      <c r="J81" s="50">
        <v>9</v>
      </c>
      <c r="K81" s="50">
        <v>9</v>
      </c>
      <c r="L81" s="50">
        <v>11</v>
      </c>
      <c r="M81" s="50">
        <v>11</v>
      </c>
      <c r="N81" s="50">
        <v>9</v>
      </c>
      <c r="O81" s="143">
        <f t="shared" si="39"/>
        <v>99.181924425399288</v>
      </c>
      <c r="P81" s="141">
        <f t="shared" si="38"/>
        <v>-1.923153421668756</v>
      </c>
    </row>
    <row r="82" spans="1:17" ht="17.100000000000001" customHeight="1">
      <c r="A82" s="42" t="s">
        <v>35</v>
      </c>
      <c r="B82" s="44" t="s">
        <v>13</v>
      </c>
      <c r="C82" s="33" t="s">
        <v>37</v>
      </c>
      <c r="D82" s="71">
        <v>589.6635</v>
      </c>
      <c r="E82" s="50">
        <v>476</v>
      </c>
      <c r="F82" s="50">
        <f>H82+I82+J82+K82+L82+M82+N82</f>
        <v>509.2</v>
      </c>
      <c r="G82" s="50">
        <f>G80*G81/10</f>
        <v>567.72</v>
      </c>
      <c r="H82" s="50">
        <f t="shared" ref="H82:N82" si="40">H81*H80/10</f>
        <v>8.4</v>
      </c>
      <c r="I82" s="50">
        <f t="shared" si="40"/>
        <v>22.5</v>
      </c>
      <c r="J82" s="50">
        <v>0</v>
      </c>
      <c r="K82" s="50">
        <f>K81*K80/10</f>
        <v>25.2</v>
      </c>
      <c r="L82" s="50">
        <f t="shared" si="40"/>
        <v>105.6</v>
      </c>
      <c r="M82" s="50">
        <f t="shared" si="40"/>
        <v>253</v>
      </c>
      <c r="N82" s="50">
        <f t="shared" si="40"/>
        <v>94.5</v>
      </c>
      <c r="O82" s="143">
        <f t="shared" si="39"/>
        <v>106.97478991596638</v>
      </c>
      <c r="P82" s="141">
        <f t="shared" si="38"/>
        <v>-80.46350000000001</v>
      </c>
    </row>
    <row r="83" spans="1:17" s="17" customFormat="1" ht="17.100000000000001" customHeight="1">
      <c r="A83" s="65" t="s">
        <v>3</v>
      </c>
      <c r="B83" s="59" t="s">
        <v>83</v>
      </c>
      <c r="C83" s="76" t="s">
        <v>1</v>
      </c>
      <c r="D83" s="71">
        <v>36.700000000000003</v>
      </c>
      <c r="E83" s="68">
        <v>40</v>
      </c>
      <c r="F83" s="68">
        <f>H83+I83+J83+K83+L83+M83+N83</f>
        <v>17.2</v>
      </c>
      <c r="G83" s="68">
        <v>0</v>
      </c>
      <c r="H83" s="68">
        <v>0</v>
      </c>
      <c r="I83" s="68">
        <v>0</v>
      </c>
      <c r="J83" s="68">
        <v>0</v>
      </c>
      <c r="K83" s="68">
        <v>1</v>
      </c>
      <c r="L83" s="68">
        <v>9</v>
      </c>
      <c r="M83" s="68">
        <v>4</v>
      </c>
      <c r="N83" s="68">
        <v>3.2</v>
      </c>
      <c r="O83" s="143">
        <f t="shared" si="39"/>
        <v>43</v>
      </c>
      <c r="P83" s="141">
        <f t="shared" si="38"/>
        <v>-19.500000000000004</v>
      </c>
    </row>
    <row r="84" spans="1:17" ht="17.100000000000001" customHeight="1">
      <c r="A84" s="51">
        <v>2</v>
      </c>
      <c r="B84" s="36" t="s">
        <v>23</v>
      </c>
      <c r="C84" s="33" t="s">
        <v>40</v>
      </c>
      <c r="D84" s="71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39"/>
      <c r="P84" s="141"/>
    </row>
    <row r="85" spans="1:17" ht="17.100000000000001" customHeight="1">
      <c r="A85" s="42" t="s">
        <v>35</v>
      </c>
      <c r="B85" s="44" t="s">
        <v>11</v>
      </c>
      <c r="C85" s="33" t="s">
        <v>1</v>
      </c>
      <c r="D85" s="52">
        <v>61.36</v>
      </c>
      <c r="E85" s="50">
        <v>61</v>
      </c>
      <c r="F85" s="50">
        <f>H85+I85+J85+K85+L85+M85+N85</f>
        <v>62.36</v>
      </c>
      <c r="G85" s="50">
        <f>F85</f>
        <v>62.36</v>
      </c>
      <c r="H85" s="55">
        <f>1+1</f>
        <v>2</v>
      </c>
      <c r="I85" s="55">
        <v>3.2</v>
      </c>
      <c r="J85" s="55">
        <f>0+J88</f>
        <v>0</v>
      </c>
      <c r="K85" s="55">
        <v>10.6</v>
      </c>
      <c r="L85" s="55">
        <v>21.36</v>
      </c>
      <c r="M85" s="55">
        <v>21.7</v>
      </c>
      <c r="N85" s="55">
        <v>3.5</v>
      </c>
      <c r="O85" s="143">
        <f t="shared" si="39"/>
        <v>102.22950819672133</v>
      </c>
      <c r="P85" s="141">
        <f t="shared" si="38"/>
        <v>1</v>
      </c>
      <c r="Q85" s="123"/>
    </row>
    <row r="86" spans="1:17" ht="17.100000000000001" customHeight="1">
      <c r="A86" s="42" t="s">
        <v>36</v>
      </c>
      <c r="B86" s="44" t="s">
        <v>12</v>
      </c>
      <c r="C86" s="33" t="s">
        <v>2</v>
      </c>
      <c r="D86" s="52">
        <v>15.777020860495437</v>
      </c>
      <c r="E86" s="50">
        <v>16</v>
      </c>
      <c r="F86" s="50">
        <f>F87/F85*10</f>
        <v>15.48845413726748</v>
      </c>
      <c r="G86" s="50">
        <v>15</v>
      </c>
      <c r="H86" s="50">
        <v>14</v>
      </c>
      <c r="I86" s="50">
        <v>15</v>
      </c>
      <c r="J86" s="50">
        <v>0</v>
      </c>
      <c r="K86" s="50">
        <v>14</v>
      </c>
      <c r="L86" s="50">
        <v>16</v>
      </c>
      <c r="M86" s="50">
        <v>16</v>
      </c>
      <c r="N86" s="50">
        <v>15</v>
      </c>
      <c r="O86" s="143">
        <f t="shared" si="39"/>
        <v>96.802838357921743</v>
      </c>
      <c r="P86" s="141">
        <f t="shared" si="38"/>
        <v>-0.28856672322795696</v>
      </c>
    </row>
    <row r="87" spans="1:17" ht="17.100000000000001" customHeight="1">
      <c r="A87" s="42" t="s">
        <v>35</v>
      </c>
      <c r="B87" s="44" t="s">
        <v>13</v>
      </c>
      <c r="C87" s="33" t="s">
        <v>37</v>
      </c>
      <c r="D87" s="52">
        <v>96.8078</v>
      </c>
      <c r="E87" s="50">
        <v>96</v>
      </c>
      <c r="F87" s="50">
        <f>H87+I87+J87+K87+L87+M87+N87</f>
        <v>96.585999999999999</v>
      </c>
      <c r="G87" s="50">
        <f>G85*G86/10</f>
        <v>93.539999999999992</v>
      </c>
      <c r="H87" s="50">
        <f t="shared" ref="H87:N87" si="41">H86*H85/10</f>
        <v>2.8</v>
      </c>
      <c r="I87" s="50">
        <f t="shared" si="41"/>
        <v>4.8</v>
      </c>
      <c r="J87" s="50">
        <f t="shared" si="41"/>
        <v>0</v>
      </c>
      <c r="K87" s="50">
        <f t="shared" si="41"/>
        <v>14.84</v>
      </c>
      <c r="L87" s="50">
        <f t="shared" si="41"/>
        <v>34.176000000000002</v>
      </c>
      <c r="M87" s="50">
        <f t="shared" si="41"/>
        <v>34.72</v>
      </c>
      <c r="N87" s="50">
        <f t="shared" si="41"/>
        <v>5.25</v>
      </c>
      <c r="O87" s="143">
        <f t="shared" si="39"/>
        <v>100.61041666666665</v>
      </c>
      <c r="P87" s="141">
        <f t="shared" si="38"/>
        <v>-0.22180000000000177</v>
      </c>
    </row>
    <row r="88" spans="1:17" ht="17.100000000000001" customHeight="1">
      <c r="A88" s="42"/>
      <c r="B88" s="59" t="s">
        <v>72</v>
      </c>
      <c r="C88" s="33" t="s">
        <v>1</v>
      </c>
      <c r="D88" s="61">
        <v>1.75</v>
      </c>
      <c r="E88" s="50">
        <v>1</v>
      </c>
      <c r="F88" s="55">
        <f>H88+I88+J88+K88+L88+M88+N88</f>
        <v>1</v>
      </c>
      <c r="G88" s="55"/>
      <c r="H88" s="55">
        <v>1</v>
      </c>
      <c r="I88" s="55"/>
      <c r="J88" s="55"/>
      <c r="K88" s="55"/>
      <c r="L88" s="55"/>
      <c r="M88" s="55"/>
      <c r="N88" s="55"/>
      <c r="O88" s="143">
        <f t="shared" si="39"/>
        <v>100</v>
      </c>
      <c r="P88" s="141">
        <f t="shared" si="38"/>
        <v>-0.75</v>
      </c>
    </row>
    <row r="89" spans="1:17" ht="17.100000000000001" customHeight="1">
      <c r="A89" s="51">
        <v>3</v>
      </c>
      <c r="B89" s="36" t="s">
        <v>24</v>
      </c>
      <c r="C89" s="33" t="s">
        <v>40</v>
      </c>
      <c r="D89" s="71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139"/>
      <c r="P89" s="141"/>
    </row>
    <row r="90" spans="1:17" ht="17.100000000000001" customHeight="1">
      <c r="A90" s="42" t="s">
        <v>35</v>
      </c>
      <c r="B90" s="44" t="s">
        <v>11</v>
      </c>
      <c r="C90" s="33" t="s">
        <v>1</v>
      </c>
      <c r="D90" s="71">
        <v>3602.0299999999997</v>
      </c>
      <c r="E90" s="50">
        <v>3602</v>
      </c>
      <c r="F90" s="50">
        <f>H90+I90+J90+K90+L90+M90+N90</f>
        <v>3605.1</v>
      </c>
      <c r="G90" s="50">
        <f>F90</f>
        <v>3605.1</v>
      </c>
      <c r="H90" s="50">
        <v>5</v>
      </c>
      <c r="I90" s="50">
        <v>651</v>
      </c>
      <c r="J90" s="50">
        <v>105</v>
      </c>
      <c r="K90" s="50">
        <f>2477.1+6</f>
        <v>2483.1</v>
      </c>
      <c r="L90" s="50">
        <v>209</v>
      </c>
      <c r="M90" s="50">
        <v>147.80000000000001</v>
      </c>
      <c r="N90" s="50">
        <v>4.2</v>
      </c>
      <c r="O90" s="143">
        <f t="shared" si="39"/>
        <v>100.08606329816767</v>
      </c>
      <c r="P90" s="141">
        <f t="shared" si="38"/>
        <v>3.0700000000001637</v>
      </c>
      <c r="Q90" s="123"/>
    </row>
    <row r="91" spans="1:17" ht="17.100000000000001" customHeight="1">
      <c r="A91" s="42" t="s">
        <v>35</v>
      </c>
      <c r="B91" s="44" t="s">
        <v>139</v>
      </c>
      <c r="C91" s="33" t="s">
        <v>1</v>
      </c>
      <c r="D91" s="71">
        <v>1799</v>
      </c>
      <c r="E91" s="50">
        <f>H91+I91+J91+K91+L91+M91+N91</f>
        <v>1799.1</v>
      </c>
      <c r="F91" s="50">
        <f t="shared" ref="F91:F92" si="42">H91+I91+J91+K91+L91+M91+N91</f>
        <v>1799.1</v>
      </c>
      <c r="G91" s="50">
        <f>F91</f>
        <v>1799.1</v>
      </c>
      <c r="H91" s="50">
        <v>0</v>
      </c>
      <c r="I91" s="50">
        <v>205</v>
      </c>
      <c r="J91" s="50">
        <v>0</v>
      </c>
      <c r="K91" s="50">
        <v>1594.1</v>
      </c>
      <c r="L91" s="50">
        <v>0</v>
      </c>
      <c r="M91" s="50">
        <v>0</v>
      </c>
      <c r="N91" s="50">
        <v>0</v>
      </c>
      <c r="O91" s="143">
        <f t="shared" si="39"/>
        <v>100</v>
      </c>
      <c r="P91" s="141">
        <f t="shared" si="38"/>
        <v>9.9999999999909051E-2</v>
      </c>
    </row>
    <row r="92" spans="1:17" ht="17.100000000000001" customHeight="1">
      <c r="A92" s="42" t="s">
        <v>3</v>
      </c>
      <c r="B92" s="44" t="s">
        <v>84</v>
      </c>
      <c r="C92" s="33" t="s">
        <v>1</v>
      </c>
      <c r="D92" s="71">
        <v>1342.7</v>
      </c>
      <c r="E92" s="50">
        <v>1339</v>
      </c>
      <c r="F92" s="50">
        <f t="shared" si="42"/>
        <v>1384.7</v>
      </c>
      <c r="G92" s="50">
        <f>F92</f>
        <v>1384.7</v>
      </c>
      <c r="H92" s="50">
        <v>5</v>
      </c>
      <c r="I92" s="50">
        <v>105</v>
      </c>
      <c r="J92" s="50">
        <v>25</v>
      </c>
      <c r="K92" s="50">
        <v>1050</v>
      </c>
      <c r="L92" s="50">
        <v>143.5</v>
      </c>
      <c r="M92" s="50">
        <v>52</v>
      </c>
      <c r="N92" s="50">
        <v>4.2</v>
      </c>
      <c r="O92" s="143">
        <f t="shared" si="39"/>
        <v>103.41299477221808</v>
      </c>
      <c r="P92" s="141">
        <f t="shared" si="38"/>
        <v>42</v>
      </c>
    </row>
    <row r="93" spans="1:17" ht="17.100000000000001" customHeight="1">
      <c r="A93" s="42" t="s">
        <v>36</v>
      </c>
      <c r="B93" s="44" t="s">
        <v>12</v>
      </c>
      <c r="C93" s="33" t="s">
        <v>2</v>
      </c>
      <c r="D93" s="71">
        <v>15.2</v>
      </c>
      <c r="E93" s="50">
        <v>15</v>
      </c>
      <c r="F93" s="50">
        <f>F94/F92*10</f>
        <v>15.2</v>
      </c>
      <c r="G93" s="50">
        <v>15.199999999999998</v>
      </c>
      <c r="H93" s="50">
        <v>15.2</v>
      </c>
      <c r="I93" s="50">
        <v>15.2</v>
      </c>
      <c r="J93" s="50">
        <v>15.2</v>
      </c>
      <c r="K93" s="50">
        <v>15.2</v>
      </c>
      <c r="L93" s="50">
        <v>15.2</v>
      </c>
      <c r="M93" s="50">
        <v>15.2</v>
      </c>
      <c r="N93" s="50">
        <v>15.2</v>
      </c>
      <c r="O93" s="143">
        <f t="shared" si="39"/>
        <v>101.33333333333331</v>
      </c>
      <c r="P93" s="141">
        <f t="shared" si="38"/>
        <v>0</v>
      </c>
    </row>
    <row r="94" spans="1:17" ht="17.100000000000001" customHeight="1">
      <c r="A94" s="42" t="s">
        <v>35</v>
      </c>
      <c r="B94" s="44" t="s">
        <v>13</v>
      </c>
      <c r="C94" s="33" t="s">
        <v>37</v>
      </c>
      <c r="D94" s="71">
        <f>D92*D93/10</f>
        <v>2040.904</v>
      </c>
      <c r="E94" s="50">
        <v>2035</v>
      </c>
      <c r="F94" s="50">
        <f>H94+I94+J94+K94+L94+M94+N94</f>
        <v>2104.7440000000001</v>
      </c>
      <c r="G94" s="50">
        <f>G92*G93/10</f>
        <v>2104.7439999999997</v>
      </c>
      <c r="H94" s="50">
        <f t="shared" ref="H94:N94" si="43">H93*H92/10</f>
        <v>7.6</v>
      </c>
      <c r="I94" s="50">
        <f t="shared" si="43"/>
        <v>159.6</v>
      </c>
      <c r="J94" s="50">
        <f t="shared" si="43"/>
        <v>38</v>
      </c>
      <c r="K94" s="50">
        <f t="shared" si="43"/>
        <v>1596</v>
      </c>
      <c r="L94" s="50">
        <f t="shared" si="43"/>
        <v>218.11999999999998</v>
      </c>
      <c r="M94" s="50">
        <f t="shared" si="43"/>
        <v>79.039999999999992</v>
      </c>
      <c r="N94" s="50">
        <f t="shared" si="43"/>
        <v>6.3839999999999995</v>
      </c>
      <c r="O94" s="143">
        <f t="shared" si="39"/>
        <v>103.42722358722361</v>
      </c>
      <c r="P94" s="141">
        <f t="shared" si="38"/>
        <v>63.840000000000146</v>
      </c>
    </row>
    <row r="95" spans="1:17" s="16" customFormat="1" ht="17.100000000000001" customHeight="1">
      <c r="A95" s="51">
        <v>4</v>
      </c>
      <c r="B95" s="36" t="s">
        <v>104</v>
      </c>
      <c r="C95" s="77" t="s">
        <v>40</v>
      </c>
      <c r="D95" s="78">
        <v>610.14</v>
      </c>
      <c r="E95" s="38">
        <v>990</v>
      </c>
      <c r="F95" s="38">
        <f t="shared" ref="F95:N95" si="44">F96+F97</f>
        <v>1020.8999999999999</v>
      </c>
      <c r="G95" s="38">
        <f>G96+G97</f>
        <v>1020.9</v>
      </c>
      <c r="H95" s="38">
        <f t="shared" si="44"/>
        <v>81.099999999999994</v>
      </c>
      <c r="I95" s="38">
        <f t="shared" si="44"/>
        <v>60.320000000000007</v>
      </c>
      <c r="J95" s="38">
        <f t="shared" si="44"/>
        <v>496.5</v>
      </c>
      <c r="K95" s="38">
        <f t="shared" si="44"/>
        <v>121.2</v>
      </c>
      <c r="L95" s="38">
        <f t="shared" si="44"/>
        <v>97.5</v>
      </c>
      <c r="M95" s="38">
        <f t="shared" si="44"/>
        <v>92.68</v>
      </c>
      <c r="N95" s="38">
        <f t="shared" si="44"/>
        <v>71.599999999999994</v>
      </c>
      <c r="O95" s="139">
        <f t="shared" si="39"/>
        <v>103.1212121212121</v>
      </c>
      <c r="P95" s="141">
        <f t="shared" si="38"/>
        <v>410.75999999999988</v>
      </c>
      <c r="Q95" s="123"/>
    </row>
    <row r="96" spans="1:17" ht="17.100000000000001" customHeight="1">
      <c r="A96" s="42" t="s">
        <v>35</v>
      </c>
      <c r="B96" s="44" t="s">
        <v>106</v>
      </c>
      <c r="C96" s="33" t="s">
        <v>1</v>
      </c>
      <c r="D96" s="79">
        <f>D95</f>
        <v>610.14</v>
      </c>
      <c r="E96" s="50">
        <v>610</v>
      </c>
      <c r="F96" s="50">
        <f>H96+I96+J96+K96+L96+M96+N96</f>
        <v>609.99999999999989</v>
      </c>
      <c r="G96" s="50">
        <v>610</v>
      </c>
      <c r="H96" s="50">
        <v>55.5</v>
      </c>
      <c r="I96" s="50">
        <v>40.020000000000003</v>
      </c>
      <c r="J96" s="50">
        <v>235.5</v>
      </c>
      <c r="K96" s="50">
        <v>89.4</v>
      </c>
      <c r="L96" s="50">
        <v>66.5</v>
      </c>
      <c r="M96" s="50">
        <v>71.78</v>
      </c>
      <c r="N96" s="50">
        <v>51.3</v>
      </c>
      <c r="O96" s="143">
        <f t="shared" si="39"/>
        <v>99.999999999999972</v>
      </c>
      <c r="P96" s="141">
        <f t="shared" si="38"/>
        <v>-0.14000000000010004</v>
      </c>
    </row>
    <row r="97" spans="1:17" ht="17.100000000000001" customHeight="1">
      <c r="A97" s="31" t="s">
        <v>35</v>
      </c>
      <c r="B97" s="32" t="s">
        <v>135</v>
      </c>
      <c r="C97" s="43" t="s">
        <v>1</v>
      </c>
      <c r="D97" s="72"/>
      <c r="E97" s="35">
        <v>380</v>
      </c>
      <c r="F97" s="110">
        <f t="shared" ref="F97:N97" si="45">F98+F99</f>
        <v>410.9</v>
      </c>
      <c r="G97" s="110">
        <f>G98+G99</f>
        <v>410.9</v>
      </c>
      <c r="H97" s="35">
        <f t="shared" si="45"/>
        <v>25.6</v>
      </c>
      <c r="I97" s="35">
        <f t="shared" si="45"/>
        <v>20.3</v>
      </c>
      <c r="J97" s="35">
        <f t="shared" si="45"/>
        <v>261</v>
      </c>
      <c r="K97" s="35">
        <f t="shared" si="45"/>
        <v>31.8</v>
      </c>
      <c r="L97" s="35">
        <f t="shared" si="45"/>
        <v>31</v>
      </c>
      <c r="M97" s="35">
        <f t="shared" si="45"/>
        <v>20.9</v>
      </c>
      <c r="N97" s="35">
        <f t="shared" si="45"/>
        <v>20.3</v>
      </c>
      <c r="O97" s="139">
        <f t="shared" si="39"/>
        <v>108.13157894736842</v>
      </c>
      <c r="P97" s="141">
        <f t="shared" si="38"/>
        <v>410.9</v>
      </c>
    </row>
    <row r="98" spans="1:17" ht="17.100000000000001" customHeight="1">
      <c r="A98" s="80" t="s">
        <v>124</v>
      </c>
      <c r="B98" s="59" t="s">
        <v>137</v>
      </c>
      <c r="C98" s="33" t="s">
        <v>1</v>
      </c>
      <c r="D98" s="60"/>
      <c r="E98" s="68">
        <v>165</v>
      </c>
      <c r="F98" s="81">
        <f>SUM(H98:N98)</f>
        <v>170.9</v>
      </c>
      <c r="G98" s="81">
        <f>F98</f>
        <v>170.9</v>
      </c>
      <c r="H98" s="81">
        <v>25.6</v>
      </c>
      <c r="I98" s="81">
        <v>20.3</v>
      </c>
      <c r="J98" s="81">
        <v>21</v>
      </c>
      <c r="K98" s="81">
        <v>31.8</v>
      </c>
      <c r="L98" s="81">
        <v>31</v>
      </c>
      <c r="M98" s="81">
        <v>20.9</v>
      </c>
      <c r="N98" s="81">
        <v>20.3</v>
      </c>
      <c r="O98" s="143">
        <f t="shared" si="39"/>
        <v>103.57575757575759</v>
      </c>
      <c r="P98" s="141">
        <f t="shared" si="38"/>
        <v>170.9</v>
      </c>
      <c r="Q98" s="124"/>
    </row>
    <row r="99" spans="1:17" ht="17.100000000000001" customHeight="1">
      <c r="A99" s="80" t="s">
        <v>124</v>
      </c>
      <c r="B99" s="59" t="s">
        <v>136</v>
      </c>
      <c r="C99" s="33" t="s">
        <v>1</v>
      </c>
      <c r="D99" s="60"/>
      <c r="E99" s="68">
        <v>215</v>
      </c>
      <c r="F99" s="68">
        <f>H99+I99+J99+K99+L99+M99+N99</f>
        <v>240</v>
      </c>
      <c r="G99" s="68">
        <f>F99</f>
        <v>240</v>
      </c>
      <c r="H99" s="68">
        <v>0</v>
      </c>
      <c r="I99" s="68">
        <v>0</v>
      </c>
      <c r="J99" s="68">
        <v>240</v>
      </c>
      <c r="K99" s="68">
        <v>0</v>
      </c>
      <c r="L99" s="68">
        <v>0</v>
      </c>
      <c r="M99" s="68">
        <v>0</v>
      </c>
      <c r="N99" s="68">
        <v>0</v>
      </c>
      <c r="O99" s="143">
        <f t="shared" si="39"/>
        <v>111.62790697674419</v>
      </c>
      <c r="P99" s="141">
        <f t="shared" si="38"/>
        <v>240</v>
      </c>
    </row>
    <row r="100" spans="1:17" s="16" customFormat="1" ht="17.100000000000001" customHeight="1">
      <c r="A100" s="51">
        <v>5</v>
      </c>
      <c r="B100" s="36" t="s">
        <v>99</v>
      </c>
      <c r="C100" s="77" t="s">
        <v>1</v>
      </c>
      <c r="D100" s="58">
        <v>273</v>
      </c>
      <c r="E100" s="58">
        <v>353</v>
      </c>
      <c r="F100" s="125">
        <f>F101+F102</f>
        <v>353.64000000000004</v>
      </c>
      <c r="G100" s="125">
        <f>G101+G102</f>
        <v>353.64000000000004</v>
      </c>
      <c r="H100" s="58">
        <f>H101+H102</f>
        <v>7.8</v>
      </c>
      <c r="I100" s="58">
        <f t="shared" ref="I100:N100" si="46">I101+I102</f>
        <v>105.45</v>
      </c>
      <c r="J100" s="58">
        <f t="shared" si="46"/>
        <v>111</v>
      </c>
      <c r="K100" s="58">
        <f t="shared" si="46"/>
        <v>27.8</v>
      </c>
      <c r="L100" s="58">
        <f t="shared" si="46"/>
        <v>26.57</v>
      </c>
      <c r="M100" s="58">
        <f t="shared" si="46"/>
        <v>22.7</v>
      </c>
      <c r="N100" s="58">
        <f t="shared" si="46"/>
        <v>52.32</v>
      </c>
      <c r="O100" s="139">
        <f t="shared" si="39"/>
        <v>100.18130311614732</v>
      </c>
      <c r="P100" s="141">
        <f t="shared" si="38"/>
        <v>80.640000000000043</v>
      </c>
      <c r="Q100" s="123"/>
    </row>
    <row r="101" spans="1:17" ht="17.100000000000001" customHeight="1">
      <c r="A101" s="42" t="s">
        <v>3</v>
      </c>
      <c r="B101" s="44" t="s">
        <v>106</v>
      </c>
      <c r="C101" s="33" t="s">
        <v>1</v>
      </c>
      <c r="D101" s="60">
        <v>273</v>
      </c>
      <c r="E101" s="68">
        <v>273</v>
      </c>
      <c r="F101" s="68">
        <f>H101+I101+J101+K101+L101+M101+N101</f>
        <v>273.29000000000002</v>
      </c>
      <c r="G101" s="68">
        <f>F101</f>
        <v>273.29000000000002</v>
      </c>
      <c r="H101" s="68">
        <v>2</v>
      </c>
      <c r="I101" s="68">
        <v>93.4</v>
      </c>
      <c r="J101" s="68">
        <v>103</v>
      </c>
      <c r="K101" s="81">
        <v>16.3</v>
      </c>
      <c r="L101" s="68">
        <v>14.07</v>
      </c>
      <c r="M101" s="68">
        <v>15.5</v>
      </c>
      <c r="N101" s="68">
        <v>29.02</v>
      </c>
      <c r="O101" s="143">
        <f t="shared" si="39"/>
        <v>100.10622710622712</v>
      </c>
      <c r="P101" s="141">
        <f t="shared" si="38"/>
        <v>0.29000000000002046</v>
      </c>
    </row>
    <row r="102" spans="1:17" ht="17.100000000000001" customHeight="1">
      <c r="A102" s="31" t="s">
        <v>3</v>
      </c>
      <c r="B102" s="32" t="s">
        <v>135</v>
      </c>
      <c r="C102" s="43"/>
      <c r="D102" s="72"/>
      <c r="E102" s="38">
        <v>80</v>
      </c>
      <c r="F102" s="82">
        <f>F103+F104</f>
        <v>80.350000000000009</v>
      </c>
      <c r="G102" s="82">
        <f>G103+G104</f>
        <v>80.350000000000009</v>
      </c>
      <c r="H102" s="38">
        <f>H103+H104</f>
        <v>5.8</v>
      </c>
      <c r="I102" s="82">
        <f>I103+I104</f>
        <v>12.05</v>
      </c>
      <c r="J102" s="38">
        <f t="shared" ref="J102:N102" si="47">J103+J104</f>
        <v>8</v>
      </c>
      <c r="K102" s="82">
        <f t="shared" si="47"/>
        <v>11.5</v>
      </c>
      <c r="L102" s="82">
        <f t="shared" si="47"/>
        <v>12.5</v>
      </c>
      <c r="M102" s="82">
        <f t="shared" si="47"/>
        <v>7.2</v>
      </c>
      <c r="N102" s="144">
        <f t="shared" si="47"/>
        <v>23.3</v>
      </c>
      <c r="O102" s="139">
        <f t="shared" si="39"/>
        <v>100.4375</v>
      </c>
      <c r="P102" s="141">
        <f t="shared" si="38"/>
        <v>80.350000000000009</v>
      </c>
      <c r="Q102" s="124"/>
    </row>
    <row r="103" spans="1:17" s="17" customFormat="1" ht="17.100000000000001" customHeight="1">
      <c r="A103" s="83" t="s">
        <v>124</v>
      </c>
      <c r="B103" s="59" t="s">
        <v>112</v>
      </c>
      <c r="C103" s="66" t="s">
        <v>1</v>
      </c>
      <c r="D103" s="60">
        <v>173</v>
      </c>
      <c r="E103" s="68">
        <v>53</v>
      </c>
      <c r="F103" s="81">
        <f>H103+I103+J103+K103+L103+M103+N103</f>
        <v>80.350000000000009</v>
      </c>
      <c r="G103" s="81">
        <f>F103</f>
        <v>80.350000000000009</v>
      </c>
      <c r="H103" s="81">
        <v>5.8</v>
      </c>
      <c r="I103" s="81">
        <v>12.05</v>
      </c>
      <c r="J103" s="81">
        <v>8</v>
      </c>
      <c r="K103" s="81">
        <v>11.5</v>
      </c>
      <c r="L103" s="81">
        <v>12.5</v>
      </c>
      <c r="M103" s="81">
        <v>7.2</v>
      </c>
      <c r="N103" s="145">
        <v>23.3</v>
      </c>
      <c r="O103" s="143">
        <f t="shared" si="39"/>
        <v>151.60377358490567</v>
      </c>
      <c r="P103" s="141">
        <f t="shared" si="38"/>
        <v>-92.649999999999991</v>
      </c>
    </row>
    <row r="104" spans="1:17" s="17" customFormat="1" ht="17.100000000000001" customHeight="1">
      <c r="A104" s="83" t="s">
        <v>124</v>
      </c>
      <c r="B104" s="59" t="s">
        <v>113</v>
      </c>
      <c r="C104" s="66" t="s">
        <v>1</v>
      </c>
      <c r="D104" s="60">
        <v>100</v>
      </c>
      <c r="E104" s="68">
        <v>27</v>
      </c>
      <c r="F104" s="68">
        <f>H104+I104+J104+K104+L104+M104+N104</f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143">
        <f t="shared" si="39"/>
        <v>0</v>
      </c>
      <c r="P104" s="141">
        <f t="shared" si="38"/>
        <v>-100</v>
      </c>
    </row>
    <row r="105" spans="1:17" ht="17.100000000000001" customHeight="1">
      <c r="A105" s="31" t="s">
        <v>97</v>
      </c>
      <c r="B105" s="32" t="s">
        <v>76</v>
      </c>
      <c r="C105" s="43" t="s">
        <v>1</v>
      </c>
      <c r="D105" s="72">
        <f>D106+D109</f>
        <v>2532.23</v>
      </c>
      <c r="E105" s="72">
        <f t="shared" ref="E105:G105" si="48">E106+E109</f>
        <v>3232.84</v>
      </c>
      <c r="F105" s="72">
        <f t="shared" si="48"/>
        <v>3143.21</v>
      </c>
      <c r="G105" s="72">
        <f t="shared" si="48"/>
        <v>3143.21</v>
      </c>
      <c r="H105" s="112">
        <f t="shared" ref="H105" si="49">H106+H109</f>
        <v>608.5</v>
      </c>
      <c r="I105" s="112">
        <f t="shared" ref="I105" si="50">I106+I109</f>
        <v>287.12</v>
      </c>
      <c r="J105" s="112">
        <f t="shared" ref="J105" si="51">J106+J109</f>
        <v>452.95</v>
      </c>
      <c r="K105" s="112">
        <f t="shared" ref="K105" si="52">K106+K109</f>
        <v>457.35</v>
      </c>
      <c r="L105" s="112">
        <f t="shared" ref="L105" si="53">L106+L109</f>
        <v>420.34000000000003</v>
      </c>
      <c r="M105" s="112">
        <f t="shared" ref="M105" si="54">M106+M109</f>
        <v>446.67</v>
      </c>
      <c r="N105" s="112">
        <f t="shared" ref="N105" si="55">N106+N109</f>
        <v>324.8</v>
      </c>
      <c r="O105" s="139">
        <f t="shared" si="39"/>
        <v>97.227515126019227</v>
      </c>
      <c r="P105" s="141">
        <f t="shared" si="38"/>
        <v>610.98</v>
      </c>
      <c r="Q105" s="123"/>
    </row>
    <row r="106" spans="1:17" s="12" customFormat="1" ht="17.100000000000001" customHeight="1">
      <c r="A106" s="31">
        <v>1</v>
      </c>
      <c r="B106" s="32" t="s">
        <v>25</v>
      </c>
      <c r="C106" s="43" t="s">
        <v>1</v>
      </c>
      <c r="D106" s="71">
        <v>2033.3200000000002</v>
      </c>
      <c r="E106" s="35">
        <v>2001</v>
      </c>
      <c r="F106" s="35">
        <f t="shared" ref="F106:N106" si="56">F107+F108</f>
        <v>1899.3</v>
      </c>
      <c r="G106" s="35">
        <f>F106</f>
        <v>1899.3</v>
      </c>
      <c r="H106" s="35">
        <f t="shared" si="56"/>
        <v>482.2</v>
      </c>
      <c r="I106" s="35">
        <f t="shared" si="56"/>
        <v>177.6</v>
      </c>
      <c r="J106" s="35">
        <f t="shared" si="56"/>
        <v>180.5</v>
      </c>
      <c r="K106" s="35">
        <f t="shared" si="56"/>
        <v>245</v>
      </c>
      <c r="L106" s="35">
        <f t="shared" si="56"/>
        <v>286</v>
      </c>
      <c r="M106" s="35">
        <f t="shared" si="56"/>
        <v>282</v>
      </c>
      <c r="N106" s="35">
        <f t="shared" si="56"/>
        <v>246</v>
      </c>
      <c r="O106" s="139">
        <f t="shared" si="39"/>
        <v>94.917541229385307</v>
      </c>
      <c r="P106" s="141">
        <f t="shared" si="38"/>
        <v>-134.02000000000021</v>
      </c>
      <c r="Q106" s="123"/>
    </row>
    <row r="107" spans="1:17" ht="17.100000000000001" customHeight="1">
      <c r="A107" s="65" t="s">
        <v>3</v>
      </c>
      <c r="B107" s="59" t="s">
        <v>106</v>
      </c>
      <c r="C107" s="33" t="s">
        <v>1</v>
      </c>
      <c r="D107" s="60">
        <v>2017.72</v>
      </c>
      <c r="E107" s="50">
        <v>2001</v>
      </c>
      <c r="F107" s="50">
        <f>H107+I107+J107+K107+L107+M107+N107</f>
        <v>1899.3</v>
      </c>
      <c r="G107" s="50">
        <f>F107</f>
        <v>1899.3</v>
      </c>
      <c r="H107" s="68">
        <v>482.2</v>
      </c>
      <c r="I107" s="68">
        <v>177.6</v>
      </c>
      <c r="J107" s="68">
        <v>180.5</v>
      </c>
      <c r="K107" s="68">
        <v>245</v>
      </c>
      <c r="L107" s="68">
        <v>286</v>
      </c>
      <c r="M107" s="68">
        <v>282</v>
      </c>
      <c r="N107" s="68">
        <v>246</v>
      </c>
      <c r="O107" s="143">
        <f t="shared" si="39"/>
        <v>94.917541229385307</v>
      </c>
      <c r="P107" s="141">
        <f t="shared" si="38"/>
        <v>-118.42000000000007</v>
      </c>
    </row>
    <row r="108" spans="1:17" ht="17.100000000000001" hidden="1" customHeight="1">
      <c r="A108" s="65" t="s">
        <v>3</v>
      </c>
      <c r="B108" s="59" t="s">
        <v>105</v>
      </c>
      <c r="C108" s="33" t="s">
        <v>1</v>
      </c>
      <c r="D108" s="60"/>
      <c r="E108" s="68">
        <v>0</v>
      </c>
      <c r="F108" s="50">
        <f>H108+I108+J108+K108+L108+M108+N108</f>
        <v>0</v>
      </c>
      <c r="G108" s="50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139" t="e">
        <f t="shared" si="39"/>
        <v>#DIV/0!</v>
      </c>
      <c r="P108" s="141">
        <f t="shared" si="38"/>
        <v>0</v>
      </c>
    </row>
    <row r="109" spans="1:17" ht="17.100000000000001" customHeight="1">
      <c r="A109" s="31">
        <v>2</v>
      </c>
      <c r="B109" s="32" t="s">
        <v>114</v>
      </c>
      <c r="C109" s="43" t="s">
        <v>1</v>
      </c>
      <c r="D109" s="35">
        <f>D110+D114</f>
        <v>498.91</v>
      </c>
      <c r="E109" s="35">
        <f t="shared" ref="E109:F109" si="57">E110+E114</f>
        <v>1231.8399999999999</v>
      </c>
      <c r="F109" s="35">
        <f t="shared" si="57"/>
        <v>1243.9100000000003</v>
      </c>
      <c r="G109" s="35">
        <f>G110+G114</f>
        <v>1243.9100000000003</v>
      </c>
      <c r="H109" s="35">
        <f t="shared" ref="H109:N109" si="58">H110+H114</f>
        <v>126.3</v>
      </c>
      <c r="I109" s="35">
        <f t="shared" si="58"/>
        <v>109.52000000000001</v>
      </c>
      <c r="J109" s="35">
        <f t="shared" si="58"/>
        <v>272.45</v>
      </c>
      <c r="K109" s="84">
        <f t="shared" si="58"/>
        <v>212.35000000000002</v>
      </c>
      <c r="L109" s="35">
        <f t="shared" si="58"/>
        <v>134.34</v>
      </c>
      <c r="M109" s="35">
        <f t="shared" si="58"/>
        <v>164.67000000000002</v>
      </c>
      <c r="N109" s="35">
        <f t="shared" si="58"/>
        <v>78.800000000000011</v>
      </c>
      <c r="O109" s="139">
        <f t="shared" si="39"/>
        <v>100.97983504351218</v>
      </c>
      <c r="P109" s="141">
        <f t="shared" si="38"/>
        <v>745.00000000000023</v>
      </c>
      <c r="Q109" s="123"/>
    </row>
    <row r="110" spans="1:17" ht="17.100000000000001" customHeight="1">
      <c r="A110" s="31" t="s">
        <v>34</v>
      </c>
      <c r="B110" s="32" t="s">
        <v>109</v>
      </c>
      <c r="C110" s="43"/>
      <c r="D110" s="35">
        <f>D111+D112+D113</f>
        <v>498.91</v>
      </c>
      <c r="E110" s="35">
        <f>E111+E112+E113</f>
        <v>806.83999999999992</v>
      </c>
      <c r="F110" s="35">
        <f t="shared" ref="F110" si="59">F111+F112+F113</f>
        <v>806.84000000000015</v>
      </c>
      <c r="G110" s="35">
        <f>F110</f>
        <v>806.84000000000015</v>
      </c>
      <c r="H110" s="35">
        <f>H111+H112+H113</f>
        <v>73.099999999999994</v>
      </c>
      <c r="I110" s="35">
        <f t="shared" ref="I110:N110" si="60">I111+I112+I113</f>
        <v>73.900000000000006</v>
      </c>
      <c r="J110" s="35">
        <f t="shared" si="60"/>
        <v>184.4</v>
      </c>
      <c r="K110" s="35">
        <f t="shared" si="60"/>
        <v>143.80000000000001</v>
      </c>
      <c r="L110" s="35">
        <f t="shared" si="60"/>
        <v>84.4</v>
      </c>
      <c r="M110" s="35">
        <f t="shared" si="60"/>
        <v>108.2</v>
      </c>
      <c r="N110" s="35">
        <f t="shared" si="60"/>
        <v>30.1</v>
      </c>
      <c r="O110" s="139">
        <f t="shared" si="39"/>
        <v>100.00000000000003</v>
      </c>
      <c r="P110" s="141">
        <f t="shared" si="38"/>
        <v>307.93000000000012</v>
      </c>
      <c r="Q110" s="123"/>
    </row>
    <row r="111" spans="1:17" ht="17.100000000000001" customHeight="1">
      <c r="A111" s="31" t="s">
        <v>3</v>
      </c>
      <c r="B111" s="44" t="s">
        <v>120</v>
      </c>
      <c r="C111" s="43"/>
      <c r="D111" s="57">
        <v>425.97</v>
      </c>
      <c r="E111" s="55">
        <v>697.9</v>
      </c>
      <c r="F111" s="55">
        <f>H111+I111+J111+K111+L111+M111+N111</f>
        <v>697.90000000000009</v>
      </c>
      <c r="G111" s="55">
        <f>F111</f>
        <v>697.90000000000009</v>
      </c>
      <c r="H111" s="57">
        <v>73.099999999999994</v>
      </c>
      <c r="I111" s="50">
        <v>73.900000000000006</v>
      </c>
      <c r="J111" s="50">
        <v>184.4</v>
      </c>
      <c r="K111" s="50">
        <v>143.80000000000001</v>
      </c>
      <c r="L111" s="50">
        <v>84.4</v>
      </c>
      <c r="M111" s="50">
        <v>108.2</v>
      </c>
      <c r="N111" s="50">
        <v>30.1</v>
      </c>
      <c r="O111" s="143">
        <f t="shared" si="39"/>
        <v>100.00000000000003</v>
      </c>
      <c r="P111" s="141">
        <f t="shared" si="38"/>
        <v>271.93000000000006</v>
      </c>
    </row>
    <row r="112" spans="1:17" ht="17.100000000000001" customHeight="1">
      <c r="A112" s="31" t="s">
        <v>3</v>
      </c>
      <c r="B112" s="59" t="s">
        <v>134</v>
      </c>
      <c r="C112" s="43"/>
      <c r="D112" s="57">
        <v>18.64</v>
      </c>
      <c r="E112" s="55">
        <v>72.94</v>
      </c>
      <c r="F112" s="57">
        <f>E112</f>
        <v>72.94</v>
      </c>
      <c r="G112" s="57">
        <f>F112</f>
        <v>72.94</v>
      </c>
      <c r="H112" s="84"/>
      <c r="I112" s="35"/>
      <c r="J112" s="35"/>
      <c r="K112" s="35"/>
      <c r="L112" s="35"/>
      <c r="M112" s="35"/>
      <c r="N112" s="35"/>
      <c r="O112" s="143">
        <f t="shared" si="39"/>
        <v>100</v>
      </c>
      <c r="P112" s="141">
        <f t="shared" si="38"/>
        <v>54.3</v>
      </c>
    </row>
    <row r="113" spans="1:17" ht="17.100000000000001" customHeight="1">
      <c r="A113" s="31" t="s">
        <v>3</v>
      </c>
      <c r="B113" s="59" t="s">
        <v>126</v>
      </c>
      <c r="C113" s="43"/>
      <c r="D113" s="57">
        <v>54.3</v>
      </c>
      <c r="E113" s="55">
        <v>36</v>
      </c>
      <c r="F113" s="57">
        <f>E113</f>
        <v>36</v>
      </c>
      <c r="G113" s="57">
        <f>F113</f>
        <v>36</v>
      </c>
      <c r="H113" s="84"/>
      <c r="I113" s="35"/>
      <c r="J113" s="35"/>
      <c r="K113" s="35"/>
      <c r="L113" s="35"/>
      <c r="M113" s="35"/>
      <c r="N113" s="35"/>
      <c r="O113" s="143">
        <f t="shared" si="39"/>
        <v>100</v>
      </c>
      <c r="P113" s="141">
        <f t="shared" si="38"/>
        <v>-18.299999999999997</v>
      </c>
    </row>
    <row r="114" spans="1:17" ht="17.100000000000001" customHeight="1">
      <c r="A114" s="31" t="s">
        <v>16</v>
      </c>
      <c r="B114" s="32" t="s">
        <v>144</v>
      </c>
      <c r="C114" s="43"/>
      <c r="D114" s="35"/>
      <c r="E114" s="110">
        <f>E115+E116+E117</f>
        <v>425</v>
      </c>
      <c r="F114" s="110">
        <f t="shared" ref="F114:N114" si="61">F115+F116+F117</f>
        <v>437.07000000000005</v>
      </c>
      <c r="G114" s="110">
        <f t="shared" si="61"/>
        <v>437.07000000000005</v>
      </c>
      <c r="H114" s="110">
        <f t="shared" si="61"/>
        <v>53.2</v>
      </c>
      <c r="I114" s="110">
        <f t="shared" si="61"/>
        <v>35.619999999999997</v>
      </c>
      <c r="J114" s="110">
        <f t="shared" si="61"/>
        <v>88.05</v>
      </c>
      <c r="K114" s="110">
        <f t="shared" si="61"/>
        <v>68.55</v>
      </c>
      <c r="L114" s="110">
        <f t="shared" si="61"/>
        <v>49.94</v>
      </c>
      <c r="M114" s="110">
        <f t="shared" si="61"/>
        <v>56.47</v>
      </c>
      <c r="N114" s="110">
        <f t="shared" si="61"/>
        <v>48.7</v>
      </c>
      <c r="O114" s="139">
        <f t="shared" si="39"/>
        <v>102.84000000000002</v>
      </c>
      <c r="P114" s="141">
        <f t="shared" si="38"/>
        <v>437.07000000000005</v>
      </c>
      <c r="Q114" s="123"/>
    </row>
    <row r="115" spans="1:17" ht="17.100000000000001" customHeight="1">
      <c r="A115" s="31" t="s">
        <v>3</v>
      </c>
      <c r="B115" s="44" t="s">
        <v>120</v>
      </c>
      <c r="C115" s="43"/>
      <c r="D115" s="35"/>
      <c r="E115" s="50">
        <v>380</v>
      </c>
      <c r="F115" s="57">
        <f>H115+I115+J115+K115+L115+M115+N115</f>
        <v>400.53000000000003</v>
      </c>
      <c r="G115" s="57">
        <f>F115</f>
        <v>400.53000000000003</v>
      </c>
      <c r="H115" s="57">
        <v>53.2</v>
      </c>
      <c r="I115" s="57">
        <v>35.619999999999997</v>
      </c>
      <c r="J115" s="57">
        <v>88.05</v>
      </c>
      <c r="K115" s="55">
        <v>68.55</v>
      </c>
      <c r="L115" s="57">
        <v>49.94</v>
      </c>
      <c r="M115" s="57">
        <v>56.47</v>
      </c>
      <c r="N115" s="57">
        <v>48.7</v>
      </c>
      <c r="O115" s="143">
        <f t="shared" si="39"/>
        <v>105.40263157894738</v>
      </c>
      <c r="P115" s="141">
        <f t="shared" si="38"/>
        <v>400.53000000000003</v>
      </c>
    </row>
    <row r="116" spans="1:17" ht="17.100000000000001" customHeight="1">
      <c r="A116" s="31" t="s">
        <v>3</v>
      </c>
      <c r="B116" s="59" t="s">
        <v>134</v>
      </c>
      <c r="C116" s="43"/>
      <c r="D116" s="35"/>
      <c r="E116" s="50">
        <v>15</v>
      </c>
      <c r="F116" s="57">
        <v>15</v>
      </c>
      <c r="G116" s="57">
        <f>F116</f>
        <v>15</v>
      </c>
      <c r="H116" s="84"/>
      <c r="I116" s="35"/>
      <c r="J116" s="35"/>
      <c r="K116" s="35"/>
      <c r="L116" s="35"/>
      <c r="M116" s="35"/>
      <c r="N116" s="35"/>
      <c r="O116" s="143">
        <f t="shared" si="39"/>
        <v>100</v>
      </c>
      <c r="P116" s="141">
        <f t="shared" si="38"/>
        <v>15</v>
      </c>
    </row>
    <row r="117" spans="1:17" ht="17.100000000000001" customHeight="1">
      <c r="A117" s="31" t="s">
        <v>3</v>
      </c>
      <c r="B117" s="59" t="s">
        <v>126</v>
      </c>
      <c r="C117" s="43"/>
      <c r="D117" s="35"/>
      <c r="E117" s="50">
        <v>30</v>
      </c>
      <c r="F117" s="57">
        <v>21.54</v>
      </c>
      <c r="G117" s="57">
        <f>F117</f>
        <v>21.54</v>
      </c>
      <c r="H117" s="84"/>
      <c r="I117" s="35"/>
      <c r="J117" s="35"/>
      <c r="K117" s="35"/>
      <c r="L117" s="35"/>
      <c r="M117" s="35"/>
      <c r="N117" s="35"/>
      <c r="O117" s="143">
        <f t="shared" si="39"/>
        <v>71.8</v>
      </c>
      <c r="P117" s="141">
        <f t="shared" si="38"/>
        <v>21.54</v>
      </c>
    </row>
    <row r="118" spans="1:17" s="12" customFormat="1" ht="17.100000000000001" customHeight="1">
      <c r="A118" s="31" t="s">
        <v>121</v>
      </c>
      <c r="B118" s="32" t="s">
        <v>115</v>
      </c>
      <c r="C118" s="43" t="s">
        <v>116</v>
      </c>
      <c r="D118" s="86">
        <f>D119+D120+D121</f>
        <v>63000</v>
      </c>
      <c r="E118" s="86">
        <v>58000</v>
      </c>
      <c r="F118" s="86">
        <f>F119+F120+F121</f>
        <v>64000</v>
      </c>
      <c r="G118" s="86">
        <f>G119+G120+G121</f>
        <v>64000</v>
      </c>
      <c r="H118" s="47">
        <f t="shared" ref="H118:N118" si="62">SUM(H119:H121)</f>
        <v>7306</v>
      </c>
      <c r="I118" s="47">
        <f t="shared" si="62"/>
        <v>300</v>
      </c>
      <c r="J118" s="47">
        <f t="shared" si="62"/>
        <v>650</v>
      </c>
      <c r="K118" s="47">
        <f t="shared" si="62"/>
        <v>8000</v>
      </c>
      <c r="L118" s="47">
        <f t="shared" si="62"/>
        <v>7200</v>
      </c>
      <c r="M118" s="47">
        <f t="shared" si="62"/>
        <v>30844</v>
      </c>
      <c r="N118" s="47">
        <f t="shared" si="62"/>
        <v>700</v>
      </c>
      <c r="O118" s="139">
        <f t="shared" si="39"/>
        <v>110.34482758620689</v>
      </c>
      <c r="P118" s="141">
        <f t="shared" si="38"/>
        <v>1000</v>
      </c>
      <c r="Q118" s="153">
        <f>64000-F118</f>
        <v>0</v>
      </c>
    </row>
    <row r="119" spans="1:17" s="18" customFormat="1" ht="21" customHeight="1">
      <c r="A119" s="66" t="s">
        <v>35</v>
      </c>
      <c r="B119" s="44" t="s">
        <v>120</v>
      </c>
      <c r="C119" s="33" t="s">
        <v>116</v>
      </c>
      <c r="D119" s="87">
        <f>20500+2600+15000+11900+5000</f>
        <v>55000</v>
      </c>
      <c r="E119" s="88">
        <v>50000</v>
      </c>
      <c r="F119" s="88">
        <f>H119+I119+J119+K119+L119+M119+N119</f>
        <v>55000</v>
      </c>
      <c r="G119" s="88">
        <f>F119</f>
        <v>55000</v>
      </c>
      <c r="H119" s="41">
        <v>7306</v>
      </c>
      <c r="I119" s="41">
        <v>300</v>
      </c>
      <c r="J119" s="41">
        <v>650</v>
      </c>
      <c r="K119" s="41">
        <v>8000</v>
      </c>
      <c r="L119" s="41">
        <v>7200</v>
      </c>
      <c r="M119" s="41">
        <f>500+29600+744</f>
        <v>30844</v>
      </c>
      <c r="N119" s="41">
        <v>700</v>
      </c>
      <c r="O119" s="143">
        <f t="shared" si="39"/>
        <v>110.00000000000001</v>
      </c>
      <c r="P119" s="141">
        <f t="shared" si="38"/>
        <v>0</v>
      </c>
      <c r="Q119" s="12"/>
    </row>
    <row r="120" spans="1:17" ht="25.5" customHeight="1">
      <c r="A120" s="65" t="s">
        <v>3</v>
      </c>
      <c r="B120" s="44" t="s">
        <v>129</v>
      </c>
      <c r="C120" s="33" t="s">
        <v>116</v>
      </c>
      <c r="D120" s="89">
        <v>5000</v>
      </c>
      <c r="E120" s="68">
        <v>5000</v>
      </c>
      <c r="F120" s="68">
        <v>5000</v>
      </c>
      <c r="G120" s="68">
        <f>F120</f>
        <v>5000</v>
      </c>
      <c r="H120" s="50"/>
      <c r="I120" s="50"/>
      <c r="J120" s="50"/>
      <c r="K120" s="50"/>
      <c r="L120" s="50"/>
      <c r="M120" s="50"/>
      <c r="N120" s="50"/>
      <c r="O120" s="143">
        <f t="shared" si="39"/>
        <v>100</v>
      </c>
      <c r="P120" s="141">
        <f t="shared" si="38"/>
        <v>0</v>
      </c>
    </row>
    <row r="121" spans="1:17" ht="22.5" customHeight="1">
      <c r="A121" s="65" t="s">
        <v>3</v>
      </c>
      <c r="B121" s="44" t="s">
        <v>117</v>
      </c>
      <c r="C121" s="33" t="s">
        <v>116</v>
      </c>
      <c r="D121" s="89">
        <v>3000</v>
      </c>
      <c r="E121" s="68">
        <v>3000</v>
      </c>
      <c r="F121" s="68">
        <v>4000</v>
      </c>
      <c r="G121" s="68">
        <f>F121</f>
        <v>4000</v>
      </c>
      <c r="H121" s="50"/>
      <c r="I121" s="50"/>
      <c r="J121" s="50"/>
      <c r="K121" s="50"/>
      <c r="L121" s="50"/>
      <c r="M121" s="50"/>
      <c r="N121" s="50"/>
      <c r="O121" s="143">
        <f t="shared" si="39"/>
        <v>133.33333333333331</v>
      </c>
      <c r="P121" s="141">
        <f t="shared" si="38"/>
        <v>1000</v>
      </c>
    </row>
    <row r="122" spans="1:17" s="12" customFormat="1" ht="17.100000000000001" customHeight="1">
      <c r="A122" s="31" t="s">
        <v>122</v>
      </c>
      <c r="B122" s="32" t="s">
        <v>133</v>
      </c>
      <c r="C122" s="43" t="s">
        <v>1</v>
      </c>
      <c r="D122" s="85">
        <v>1348.09</v>
      </c>
      <c r="E122" s="35">
        <v>500</v>
      </c>
      <c r="F122" s="35">
        <f>F123+F124</f>
        <v>532.1</v>
      </c>
      <c r="G122" s="35">
        <f>G123+G124</f>
        <v>532.1</v>
      </c>
      <c r="H122" s="35">
        <f>H123+H124</f>
        <v>22.5</v>
      </c>
      <c r="I122" s="35">
        <f t="shared" ref="I122:N122" si="63">I123+I124</f>
        <v>100</v>
      </c>
      <c r="J122" s="35">
        <f t="shared" si="63"/>
        <v>0</v>
      </c>
      <c r="K122" s="35">
        <f t="shared" si="63"/>
        <v>81.7</v>
      </c>
      <c r="L122" s="35">
        <f t="shared" si="63"/>
        <v>25.5</v>
      </c>
      <c r="M122" s="35">
        <f t="shared" si="63"/>
        <v>0</v>
      </c>
      <c r="N122" s="35">
        <f t="shared" si="63"/>
        <v>102.4</v>
      </c>
      <c r="O122" s="139">
        <f t="shared" si="39"/>
        <v>106.42</v>
      </c>
      <c r="P122" s="141">
        <f t="shared" si="38"/>
        <v>-815.9899999999999</v>
      </c>
    </row>
    <row r="123" spans="1:17" ht="17.100000000000001" customHeight="1">
      <c r="A123" s="80" t="s">
        <v>125</v>
      </c>
      <c r="B123" s="44" t="s">
        <v>120</v>
      </c>
      <c r="C123" s="33" t="s">
        <v>1</v>
      </c>
      <c r="D123" s="90"/>
      <c r="E123" s="50"/>
      <c r="F123" s="50">
        <f>H123+I123+J123+K123+L123+M123+N123</f>
        <v>332.1</v>
      </c>
      <c r="G123" s="50">
        <f>F123</f>
        <v>332.1</v>
      </c>
      <c r="H123" s="50">
        <v>22.5</v>
      </c>
      <c r="I123" s="50">
        <v>100</v>
      </c>
      <c r="J123" s="50">
        <v>0</v>
      </c>
      <c r="K123" s="50">
        <v>81.7</v>
      </c>
      <c r="L123" s="50">
        <v>25.5</v>
      </c>
      <c r="M123" s="50">
        <v>0</v>
      </c>
      <c r="N123" s="50">
        <v>102.4</v>
      </c>
      <c r="O123" s="139"/>
      <c r="P123" s="141">
        <f t="shared" si="38"/>
        <v>332.1</v>
      </c>
    </row>
    <row r="124" spans="1:17" ht="17.100000000000001" customHeight="1">
      <c r="A124" s="42" t="s">
        <v>3</v>
      </c>
      <c r="B124" s="44" t="s">
        <v>134</v>
      </c>
      <c r="C124" s="33" t="s">
        <v>1</v>
      </c>
      <c r="D124" s="90"/>
      <c r="E124" s="50">
        <v>500</v>
      </c>
      <c r="F124" s="50">
        <v>200</v>
      </c>
      <c r="G124" s="50">
        <f>F124</f>
        <v>200</v>
      </c>
      <c r="H124" s="50"/>
      <c r="I124" s="50"/>
      <c r="J124" s="50"/>
      <c r="K124" s="50"/>
      <c r="L124" s="50"/>
      <c r="M124" s="50"/>
      <c r="N124" s="50"/>
      <c r="O124" s="143">
        <f t="shared" si="39"/>
        <v>40</v>
      </c>
      <c r="P124" s="141">
        <f t="shared" si="38"/>
        <v>200</v>
      </c>
    </row>
    <row r="125" spans="1:17" ht="17.100000000000001" customHeight="1">
      <c r="A125" s="31" t="s">
        <v>123</v>
      </c>
      <c r="B125" s="32" t="s">
        <v>146</v>
      </c>
      <c r="C125" s="43" t="s">
        <v>1</v>
      </c>
      <c r="D125" s="86">
        <f>D126+D137+D140</f>
        <v>64.7</v>
      </c>
      <c r="E125" s="98">
        <f>E126+E137+E140</f>
        <v>115</v>
      </c>
      <c r="F125" s="151">
        <f t="shared" ref="F125:H125" si="64">F126+F137+F140</f>
        <v>139.19999999999999</v>
      </c>
      <c r="G125" s="91">
        <f>G126+G137+G140</f>
        <v>139.19999999999999</v>
      </c>
      <c r="H125" s="98">
        <f t="shared" si="64"/>
        <v>12.8</v>
      </c>
      <c r="I125" s="98">
        <f t="shared" ref="I125" si="65">I126+I137+I140</f>
        <v>21.1</v>
      </c>
      <c r="J125" s="98">
        <f t="shared" ref="J125" si="66">J126+J137+J140</f>
        <v>4.5999999999999996</v>
      </c>
      <c r="K125" s="98">
        <f t="shared" ref="K125" si="67">K126+K137+K140</f>
        <v>64.3</v>
      </c>
      <c r="L125" s="98">
        <f t="shared" ref="L125" si="68">L126+L137+L140</f>
        <v>8.3000000000000007</v>
      </c>
      <c r="M125" s="98">
        <f t="shared" ref="M125" si="69">M126+M137+M140</f>
        <v>6.7</v>
      </c>
      <c r="N125" s="98">
        <f t="shared" ref="N125" si="70">N126+N137+N140</f>
        <v>21.4</v>
      </c>
      <c r="O125" s="139">
        <f t="shared" si="39"/>
        <v>121.04347826086956</v>
      </c>
      <c r="P125" s="141">
        <f t="shared" si="38"/>
        <v>74.499999999999986</v>
      </c>
      <c r="Q125" s="123"/>
    </row>
    <row r="126" spans="1:17" ht="17.100000000000001" hidden="1" customHeight="1">
      <c r="A126" s="31">
        <v>1</v>
      </c>
      <c r="B126" s="32" t="s">
        <v>145</v>
      </c>
      <c r="C126" s="43"/>
      <c r="D126" s="113">
        <f>D127+D132</f>
        <v>7.7</v>
      </c>
      <c r="E126" s="91">
        <v>13.5</v>
      </c>
      <c r="F126" s="91">
        <f t="shared" ref="F126:F143" si="71">H126+I126+J126+K126+L126+M126+N126</f>
        <v>14.500000000000002</v>
      </c>
      <c r="G126" s="75">
        <f>G127+G132</f>
        <v>14.5</v>
      </c>
      <c r="H126" s="115">
        <f t="shared" ref="H126:N126" si="72">H127+H132</f>
        <v>3.5</v>
      </c>
      <c r="I126" s="115">
        <f t="shared" si="72"/>
        <v>2</v>
      </c>
      <c r="J126" s="115">
        <f t="shared" si="72"/>
        <v>0</v>
      </c>
      <c r="K126" s="115">
        <f t="shared" si="72"/>
        <v>3.3</v>
      </c>
      <c r="L126" s="115">
        <f t="shared" si="72"/>
        <v>0.3</v>
      </c>
      <c r="M126" s="115">
        <f t="shared" si="72"/>
        <v>0</v>
      </c>
      <c r="N126" s="115">
        <f t="shared" si="72"/>
        <v>5.4</v>
      </c>
      <c r="O126" s="147">
        <f t="shared" si="39"/>
        <v>107.40740740740742</v>
      </c>
      <c r="P126" s="141">
        <f t="shared" si="38"/>
        <v>6.8000000000000016</v>
      </c>
      <c r="Q126" s="123"/>
    </row>
    <row r="127" spans="1:17" s="12" customFormat="1" ht="17.100000000000001" hidden="1" customHeight="1">
      <c r="A127" s="31" t="s">
        <v>3</v>
      </c>
      <c r="B127" s="32" t="s">
        <v>147</v>
      </c>
      <c r="C127" s="43" t="s">
        <v>1</v>
      </c>
      <c r="D127" s="98">
        <f>SUM(D128:D131)</f>
        <v>7.7</v>
      </c>
      <c r="E127" s="98">
        <f t="shared" ref="E127:G127" si="73">SUM(E128:E131)</f>
        <v>7.7</v>
      </c>
      <c r="F127" s="98">
        <f t="shared" si="73"/>
        <v>7.4</v>
      </c>
      <c r="G127" s="98">
        <f t="shared" si="73"/>
        <v>7.4</v>
      </c>
      <c r="H127" s="98">
        <f t="shared" ref="H127" si="74">SUM(H128:H131)</f>
        <v>1.2000000000000002</v>
      </c>
      <c r="I127" s="98">
        <f t="shared" ref="I127" si="75">SUM(I128:I131)</f>
        <v>1.8</v>
      </c>
      <c r="J127" s="98">
        <f t="shared" ref="J127:K127" si="76">SUM(J128:J131)</f>
        <v>0</v>
      </c>
      <c r="K127" s="98">
        <f t="shared" si="76"/>
        <v>0.7</v>
      </c>
      <c r="L127" s="98">
        <f t="shared" ref="L127" si="77">SUM(L128:L131)</f>
        <v>0.3</v>
      </c>
      <c r="M127" s="98">
        <f t="shared" ref="M127" si="78">SUM(M128:M131)</f>
        <v>0</v>
      </c>
      <c r="N127" s="98">
        <f t="shared" ref="N127" si="79">SUM(N128:N131)</f>
        <v>3.4</v>
      </c>
      <c r="O127" s="139">
        <f t="shared" si="39"/>
        <v>96.103896103896105</v>
      </c>
      <c r="P127" s="37">
        <f t="shared" si="38"/>
        <v>-0.29999999999999982</v>
      </c>
      <c r="Q127" s="123"/>
    </row>
    <row r="128" spans="1:17" ht="17.100000000000001" hidden="1" customHeight="1">
      <c r="A128" s="31" t="s">
        <v>130</v>
      </c>
      <c r="B128" s="59" t="s">
        <v>107</v>
      </c>
      <c r="C128" s="66" t="s">
        <v>1</v>
      </c>
      <c r="D128" s="115">
        <v>2.9</v>
      </c>
      <c r="E128" s="115">
        <v>2.9</v>
      </c>
      <c r="F128" s="115">
        <f t="shared" ref="F128:F132" si="80">H128+I128+J128+K128+L128+M128+N128</f>
        <v>2.6</v>
      </c>
      <c r="G128" s="74">
        <f>F128</f>
        <v>2.6</v>
      </c>
      <c r="H128" s="115">
        <v>0.2</v>
      </c>
      <c r="I128" s="115"/>
      <c r="J128" s="115"/>
      <c r="K128" s="115"/>
      <c r="L128" s="115"/>
      <c r="M128" s="115"/>
      <c r="N128" s="115">
        <v>2.4</v>
      </c>
      <c r="O128" s="139">
        <f t="shared" si="39"/>
        <v>89.65517241379311</v>
      </c>
      <c r="P128" s="37">
        <f t="shared" si="38"/>
        <v>-0.29999999999999982</v>
      </c>
    </row>
    <row r="129" spans="1:17" ht="17.100000000000001" hidden="1" customHeight="1">
      <c r="A129" s="31" t="s">
        <v>130</v>
      </c>
      <c r="B129" s="59" t="s">
        <v>108</v>
      </c>
      <c r="C129" s="66" t="s">
        <v>1</v>
      </c>
      <c r="D129" s="115">
        <v>1.1000000000000001</v>
      </c>
      <c r="E129" s="115">
        <v>1.1000000000000001</v>
      </c>
      <c r="F129" s="115">
        <f t="shared" si="80"/>
        <v>1.1000000000000001</v>
      </c>
      <c r="G129" s="74">
        <f>F129</f>
        <v>1.1000000000000001</v>
      </c>
      <c r="H129" s="115">
        <v>0.4</v>
      </c>
      <c r="I129" s="115"/>
      <c r="J129" s="115"/>
      <c r="K129" s="115">
        <v>0.2</v>
      </c>
      <c r="L129" s="115"/>
      <c r="M129" s="115"/>
      <c r="N129" s="115">
        <v>0.5</v>
      </c>
      <c r="O129" s="139">
        <f t="shared" si="39"/>
        <v>100</v>
      </c>
      <c r="P129" s="37">
        <f t="shared" si="38"/>
        <v>0</v>
      </c>
    </row>
    <row r="130" spans="1:17" s="12" customFormat="1" ht="17.100000000000001" hidden="1" customHeight="1">
      <c r="A130" s="31" t="s">
        <v>130</v>
      </c>
      <c r="B130" s="59" t="s">
        <v>110</v>
      </c>
      <c r="C130" s="66" t="s">
        <v>1</v>
      </c>
      <c r="D130" s="115">
        <v>3.7</v>
      </c>
      <c r="E130" s="115">
        <v>3.7</v>
      </c>
      <c r="F130" s="115">
        <f t="shared" si="80"/>
        <v>3.6999999999999997</v>
      </c>
      <c r="G130" s="74">
        <f>F130</f>
        <v>3.6999999999999997</v>
      </c>
      <c r="H130" s="115">
        <v>0.6</v>
      </c>
      <c r="I130" s="115">
        <v>1.8</v>
      </c>
      <c r="J130" s="115"/>
      <c r="K130" s="115">
        <v>0.5</v>
      </c>
      <c r="L130" s="115">
        <v>0.3</v>
      </c>
      <c r="M130" s="115"/>
      <c r="N130" s="115">
        <v>0.5</v>
      </c>
      <c r="O130" s="139">
        <f t="shared" si="39"/>
        <v>99.999999999999986</v>
      </c>
      <c r="P130" s="37">
        <f t="shared" si="38"/>
        <v>0</v>
      </c>
    </row>
    <row r="131" spans="1:17" s="12" customFormat="1" ht="17.100000000000001" hidden="1" customHeight="1">
      <c r="A131" s="31" t="s">
        <v>130</v>
      </c>
      <c r="B131" s="59" t="s">
        <v>149</v>
      </c>
      <c r="C131" s="66" t="s">
        <v>1</v>
      </c>
      <c r="D131" s="115"/>
      <c r="E131" s="115"/>
      <c r="F131" s="115"/>
      <c r="G131" s="75"/>
      <c r="H131" s="115"/>
      <c r="I131" s="115"/>
      <c r="J131" s="115"/>
      <c r="K131" s="115"/>
      <c r="L131" s="115"/>
      <c r="M131" s="115"/>
      <c r="N131" s="115"/>
      <c r="O131" s="139" t="e">
        <f t="shared" si="39"/>
        <v>#DIV/0!</v>
      </c>
      <c r="P131" s="37">
        <f t="shared" si="38"/>
        <v>0</v>
      </c>
    </row>
    <row r="132" spans="1:17" s="12" customFormat="1" ht="17.100000000000001" hidden="1" customHeight="1">
      <c r="A132" s="31" t="s">
        <v>3</v>
      </c>
      <c r="B132" s="32" t="s">
        <v>148</v>
      </c>
      <c r="C132" s="43" t="s">
        <v>1</v>
      </c>
      <c r="D132" s="98">
        <f>SUM(D133:D136)</f>
        <v>0</v>
      </c>
      <c r="E132" s="91">
        <v>13.5</v>
      </c>
      <c r="F132" s="91">
        <f t="shared" si="80"/>
        <v>7.1</v>
      </c>
      <c r="G132" s="75">
        <f>F132</f>
        <v>7.1</v>
      </c>
      <c r="H132" s="91">
        <f t="shared" ref="H132:N132" si="81">H133+H134+H135+H136</f>
        <v>2.2999999999999998</v>
      </c>
      <c r="I132" s="91">
        <f t="shared" si="81"/>
        <v>0.2</v>
      </c>
      <c r="J132" s="91">
        <f t="shared" si="81"/>
        <v>0</v>
      </c>
      <c r="K132" s="91">
        <f t="shared" si="81"/>
        <v>2.6</v>
      </c>
      <c r="L132" s="91">
        <f t="shared" si="81"/>
        <v>0</v>
      </c>
      <c r="M132" s="91">
        <f t="shared" si="81"/>
        <v>0</v>
      </c>
      <c r="N132" s="91">
        <f t="shared" si="81"/>
        <v>2</v>
      </c>
      <c r="O132" s="139">
        <f t="shared" si="39"/>
        <v>52.592592592592588</v>
      </c>
      <c r="P132" s="37">
        <f t="shared" si="38"/>
        <v>7.1</v>
      </c>
      <c r="Q132" s="123"/>
    </row>
    <row r="133" spans="1:17" s="12" customFormat="1" ht="17.100000000000001" hidden="1" customHeight="1">
      <c r="A133" s="31" t="s">
        <v>130</v>
      </c>
      <c r="B133" s="59" t="s">
        <v>107</v>
      </c>
      <c r="C133" s="66" t="s">
        <v>1</v>
      </c>
      <c r="D133" s="92"/>
      <c r="E133" s="38"/>
      <c r="F133" s="75"/>
      <c r="G133" s="75"/>
      <c r="H133" s="117"/>
      <c r="I133" s="117"/>
      <c r="J133" s="67"/>
      <c r="K133" s="67"/>
      <c r="L133" s="67"/>
      <c r="M133" s="67"/>
      <c r="N133" s="67"/>
      <c r="O133" s="139" t="e">
        <f t="shared" si="39"/>
        <v>#DIV/0!</v>
      </c>
      <c r="P133" s="37">
        <f t="shared" si="38"/>
        <v>0</v>
      </c>
    </row>
    <row r="134" spans="1:17" ht="17.100000000000001" hidden="1" customHeight="1">
      <c r="A134" s="31" t="s">
        <v>130</v>
      </c>
      <c r="B134" s="59" t="s">
        <v>108</v>
      </c>
      <c r="C134" s="66" t="s">
        <v>1</v>
      </c>
      <c r="D134" s="92"/>
      <c r="E134" s="68"/>
      <c r="F134" s="74"/>
      <c r="G134" s="74"/>
      <c r="H134" s="117"/>
      <c r="I134" s="117">
        <v>0.2</v>
      </c>
      <c r="J134" s="67"/>
      <c r="K134" s="67"/>
      <c r="L134" s="117"/>
      <c r="M134" s="67"/>
      <c r="N134" s="67"/>
      <c r="O134" s="139" t="e">
        <f t="shared" si="39"/>
        <v>#DIV/0!</v>
      </c>
      <c r="P134" s="37">
        <f t="shared" si="38"/>
        <v>0</v>
      </c>
    </row>
    <row r="135" spans="1:17" ht="17.100000000000001" hidden="1" customHeight="1">
      <c r="A135" s="31" t="s">
        <v>130</v>
      </c>
      <c r="B135" s="59" t="s">
        <v>110</v>
      </c>
      <c r="C135" s="66" t="s">
        <v>1</v>
      </c>
      <c r="D135" s="90"/>
      <c r="E135" s="68"/>
      <c r="F135" s="74"/>
      <c r="G135" s="74"/>
      <c r="H135" s="115">
        <v>2.2999999999999998</v>
      </c>
      <c r="I135" s="74"/>
      <c r="J135" s="74"/>
      <c r="K135" s="115">
        <v>2.6</v>
      </c>
      <c r="L135" s="74">
        <v>0</v>
      </c>
      <c r="M135" s="74">
        <v>0</v>
      </c>
      <c r="N135" s="74">
        <v>2</v>
      </c>
      <c r="O135" s="139" t="e">
        <f t="shared" si="39"/>
        <v>#DIV/0!</v>
      </c>
      <c r="P135" s="37">
        <f t="shared" si="38"/>
        <v>0</v>
      </c>
    </row>
    <row r="136" spans="1:17" ht="17.100000000000001" hidden="1" customHeight="1">
      <c r="A136" s="31" t="s">
        <v>130</v>
      </c>
      <c r="B136" s="59" t="s">
        <v>150</v>
      </c>
      <c r="C136" s="66" t="s">
        <v>1</v>
      </c>
      <c r="D136" s="90"/>
      <c r="E136" s="68"/>
      <c r="F136" s="74"/>
      <c r="G136" s="74"/>
      <c r="H136" s="74"/>
      <c r="I136" s="74"/>
      <c r="J136" s="74"/>
      <c r="K136" s="74"/>
      <c r="L136" s="74"/>
      <c r="M136" s="74"/>
      <c r="N136" s="74"/>
      <c r="O136" s="139" t="e">
        <f t="shared" si="39"/>
        <v>#DIV/0!</v>
      </c>
      <c r="P136" s="37">
        <f t="shared" si="38"/>
        <v>0</v>
      </c>
    </row>
    <row r="137" spans="1:17" s="12" customFormat="1" ht="17.100000000000001" hidden="1" customHeight="1">
      <c r="A137" s="31">
        <v>2</v>
      </c>
      <c r="B137" s="32" t="s">
        <v>141</v>
      </c>
      <c r="C137" s="43" t="s">
        <v>1</v>
      </c>
      <c r="D137" s="85"/>
      <c r="E137" s="110">
        <f>E138+E139</f>
        <v>36.5</v>
      </c>
      <c r="F137" s="91">
        <f t="shared" si="71"/>
        <v>49.7</v>
      </c>
      <c r="G137" s="91">
        <f>F137</f>
        <v>49.7</v>
      </c>
      <c r="H137" s="91">
        <f>H138+H139</f>
        <v>4.3</v>
      </c>
      <c r="I137" s="91">
        <f t="shared" ref="I137:N137" si="82">I138+I139</f>
        <v>7.1</v>
      </c>
      <c r="J137" s="91">
        <f t="shared" si="82"/>
        <v>4.5999999999999996</v>
      </c>
      <c r="K137" s="91">
        <f t="shared" si="82"/>
        <v>11</v>
      </c>
      <c r="L137" s="91">
        <f t="shared" si="82"/>
        <v>8</v>
      </c>
      <c r="M137" s="91">
        <f t="shared" si="82"/>
        <v>6.7</v>
      </c>
      <c r="N137" s="91">
        <f t="shared" si="82"/>
        <v>8</v>
      </c>
      <c r="O137" s="139">
        <f t="shared" si="39"/>
        <v>136.16438356164383</v>
      </c>
      <c r="P137" s="37">
        <f t="shared" si="38"/>
        <v>49.7</v>
      </c>
      <c r="Q137" s="123"/>
    </row>
    <row r="138" spans="1:17" s="12" customFormat="1" ht="17.100000000000001" hidden="1" customHeight="1">
      <c r="A138" s="42" t="s">
        <v>130</v>
      </c>
      <c r="B138" s="44" t="s">
        <v>147</v>
      </c>
      <c r="C138" s="33" t="s">
        <v>1</v>
      </c>
      <c r="D138" s="90"/>
      <c r="E138" s="55"/>
      <c r="F138" s="115"/>
      <c r="G138" s="115"/>
      <c r="H138" s="115"/>
      <c r="I138" s="115"/>
      <c r="J138" s="74"/>
      <c r="K138" s="115"/>
      <c r="L138" s="74"/>
      <c r="M138" s="115"/>
      <c r="N138" s="74"/>
      <c r="O138" s="139" t="e">
        <f t="shared" si="39"/>
        <v>#DIV/0!</v>
      </c>
      <c r="P138" s="141">
        <f t="shared" si="38"/>
        <v>0</v>
      </c>
    </row>
    <row r="139" spans="1:17" s="12" customFormat="1" ht="17.100000000000001" hidden="1" customHeight="1">
      <c r="A139" s="42" t="s">
        <v>130</v>
      </c>
      <c r="B139" s="44" t="s">
        <v>148</v>
      </c>
      <c r="C139" s="33" t="s">
        <v>1</v>
      </c>
      <c r="D139" s="90"/>
      <c r="E139" s="55">
        <v>36.5</v>
      </c>
      <c r="F139" s="115">
        <f t="shared" si="71"/>
        <v>49.7</v>
      </c>
      <c r="G139" s="115">
        <f>F139</f>
        <v>49.7</v>
      </c>
      <c r="H139" s="115">
        <v>4.3</v>
      </c>
      <c r="I139" s="115">
        <v>7.1</v>
      </c>
      <c r="J139" s="74">
        <v>4.5999999999999996</v>
      </c>
      <c r="K139" s="115">
        <v>11</v>
      </c>
      <c r="L139" s="74">
        <v>8</v>
      </c>
      <c r="M139" s="115">
        <v>6.7</v>
      </c>
      <c r="N139" s="74">
        <v>8</v>
      </c>
      <c r="O139" s="143">
        <f t="shared" si="39"/>
        <v>136.16438356164383</v>
      </c>
      <c r="P139" s="141">
        <f t="shared" si="38"/>
        <v>49.7</v>
      </c>
      <c r="Q139" s="150"/>
    </row>
    <row r="140" spans="1:17" s="12" customFormat="1" ht="17.100000000000001" hidden="1" customHeight="1">
      <c r="A140" s="31">
        <v>3</v>
      </c>
      <c r="B140" s="32" t="s">
        <v>142</v>
      </c>
      <c r="C140" s="43" t="s">
        <v>1</v>
      </c>
      <c r="D140" s="75">
        <v>57</v>
      </c>
      <c r="E140" s="35">
        <f>E141+E142+E143+E144</f>
        <v>65</v>
      </c>
      <c r="F140" s="75">
        <f t="shared" si="71"/>
        <v>75</v>
      </c>
      <c r="G140" s="75">
        <f>F140</f>
        <v>75</v>
      </c>
      <c r="H140" s="111">
        <f>H141+H142+H143+H144</f>
        <v>5</v>
      </c>
      <c r="I140" s="111">
        <f>I141+I142+I143+I144</f>
        <v>12</v>
      </c>
      <c r="J140" s="111">
        <f t="shared" ref="J140:N140" si="83">J141+J142+J143+J144</f>
        <v>0</v>
      </c>
      <c r="K140" s="111">
        <f t="shared" si="83"/>
        <v>50</v>
      </c>
      <c r="L140" s="111">
        <f t="shared" si="83"/>
        <v>0</v>
      </c>
      <c r="M140" s="111">
        <f t="shared" si="83"/>
        <v>0</v>
      </c>
      <c r="N140" s="111">
        <f t="shared" si="83"/>
        <v>8</v>
      </c>
      <c r="O140" s="139">
        <f t="shared" si="39"/>
        <v>115.38461538461537</v>
      </c>
      <c r="P140" s="141">
        <f t="shared" si="38"/>
        <v>18</v>
      </c>
      <c r="Q140" s="123"/>
    </row>
    <row r="141" spans="1:17" ht="17.100000000000001" hidden="1" customHeight="1">
      <c r="A141" s="65" t="s">
        <v>3</v>
      </c>
      <c r="B141" s="44" t="s">
        <v>118</v>
      </c>
      <c r="C141" s="33"/>
      <c r="D141" s="74">
        <v>50</v>
      </c>
      <c r="E141" s="50">
        <v>50</v>
      </c>
      <c r="F141" s="74">
        <f t="shared" si="71"/>
        <v>62</v>
      </c>
      <c r="G141" s="75"/>
      <c r="H141" s="74"/>
      <c r="I141" s="93">
        <v>12</v>
      </c>
      <c r="J141" s="74"/>
      <c r="K141" s="74">
        <v>50</v>
      </c>
      <c r="L141" s="74"/>
      <c r="M141" s="74"/>
      <c r="N141" s="74"/>
      <c r="O141" s="139">
        <f t="shared" si="39"/>
        <v>124</v>
      </c>
      <c r="P141" s="141">
        <f t="shared" ref="P141:P162" si="84">F141-D141</f>
        <v>12</v>
      </c>
    </row>
    <row r="142" spans="1:17" ht="17.100000000000001" hidden="1" customHeight="1">
      <c r="A142" s="65" t="s">
        <v>3</v>
      </c>
      <c r="B142" s="44" t="s">
        <v>119</v>
      </c>
      <c r="C142" s="33"/>
      <c r="D142" s="74">
        <v>2</v>
      </c>
      <c r="E142" s="50">
        <v>2</v>
      </c>
      <c r="F142" s="74">
        <f t="shared" si="71"/>
        <v>0</v>
      </c>
      <c r="G142" s="75"/>
      <c r="H142" s="74"/>
      <c r="I142" s="93"/>
      <c r="J142" s="74"/>
      <c r="K142" s="74"/>
      <c r="L142" s="74"/>
      <c r="M142" s="74"/>
      <c r="N142" s="74"/>
      <c r="O142" s="139">
        <f t="shared" si="39"/>
        <v>0</v>
      </c>
      <c r="P142" s="141">
        <f t="shared" si="84"/>
        <v>-2</v>
      </c>
    </row>
    <row r="143" spans="1:17" ht="17.100000000000001" hidden="1" customHeight="1">
      <c r="A143" s="65" t="s">
        <v>35</v>
      </c>
      <c r="B143" s="44" t="s">
        <v>107</v>
      </c>
      <c r="C143" s="33"/>
      <c r="D143" s="74">
        <v>5</v>
      </c>
      <c r="E143" s="50">
        <v>5</v>
      </c>
      <c r="F143" s="74">
        <f t="shared" si="71"/>
        <v>5</v>
      </c>
      <c r="G143" s="75"/>
      <c r="H143" s="74">
        <v>5</v>
      </c>
      <c r="I143" s="93"/>
      <c r="J143" s="74"/>
      <c r="K143" s="74"/>
      <c r="L143" s="74"/>
      <c r="M143" s="74"/>
      <c r="N143" s="74"/>
      <c r="O143" s="139">
        <f t="shared" si="39"/>
        <v>100</v>
      </c>
      <c r="P143" s="141">
        <f t="shared" si="84"/>
        <v>0</v>
      </c>
    </row>
    <row r="144" spans="1:17" ht="17.100000000000001" hidden="1" customHeight="1">
      <c r="A144" s="65" t="s">
        <v>3</v>
      </c>
      <c r="B144" s="44" t="s">
        <v>138</v>
      </c>
      <c r="C144" s="33"/>
      <c r="D144" s="74"/>
      <c r="E144" s="50">
        <v>8</v>
      </c>
      <c r="F144" s="74">
        <v>8</v>
      </c>
      <c r="G144" s="75"/>
      <c r="H144" s="74"/>
      <c r="I144" s="93"/>
      <c r="J144" s="74"/>
      <c r="K144" s="74"/>
      <c r="L144" s="74"/>
      <c r="M144" s="74"/>
      <c r="N144" s="74">
        <v>8</v>
      </c>
      <c r="O144" s="139">
        <f t="shared" ref="O144:O162" si="85">F144/E144*100</f>
        <v>100</v>
      </c>
      <c r="P144" s="141">
        <f t="shared" si="84"/>
        <v>8</v>
      </c>
    </row>
    <row r="145" spans="1:17" ht="17.100000000000001" customHeight="1">
      <c r="A145" s="31" t="s">
        <v>32</v>
      </c>
      <c r="B145" s="39" t="s">
        <v>44</v>
      </c>
      <c r="C145" s="43" t="s">
        <v>41</v>
      </c>
      <c r="D145" s="64">
        <v>113407</v>
      </c>
      <c r="E145" s="35">
        <f>E146+E151</f>
        <v>118279</v>
      </c>
      <c r="F145" s="35">
        <f t="shared" ref="F145:N145" si="86">F146+F151</f>
        <v>120210</v>
      </c>
      <c r="G145" s="35">
        <f>G146+G151</f>
        <v>118586</v>
      </c>
      <c r="H145" s="35">
        <f t="shared" si="86"/>
        <v>12767</v>
      </c>
      <c r="I145" s="35">
        <f t="shared" si="86"/>
        <v>24744</v>
      </c>
      <c r="J145" s="35">
        <f t="shared" si="86"/>
        <v>8887</v>
      </c>
      <c r="K145" s="35">
        <f t="shared" si="86"/>
        <v>18841</v>
      </c>
      <c r="L145" s="35">
        <f t="shared" si="86"/>
        <v>31834</v>
      </c>
      <c r="M145" s="35">
        <f t="shared" si="86"/>
        <v>15037</v>
      </c>
      <c r="N145" s="35">
        <f t="shared" si="86"/>
        <v>8100</v>
      </c>
      <c r="O145" s="139">
        <f t="shared" si="85"/>
        <v>101.63258059334285</v>
      </c>
      <c r="P145" s="37">
        <f t="shared" si="84"/>
        <v>6803</v>
      </c>
    </row>
    <row r="146" spans="1:17" ht="17.100000000000001" customHeight="1">
      <c r="A146" s="31" t="s">
        <v>10</v>
      </c>
      <c r="B146" s="36" t="s">
        <v>78</v>
      </c>
      <c r="C146" s="77" t="s">
        <v>41</v>
      </c>
      <c r="D146" s="60">
        <v>34242</v>
      </c>
      <c r="E146" s="38">
        <f>E147+E148+E149+E150</f>
        <v>36849</v>
      </c>
      <c r="F146" s="38">
        <f>F147+F148+F149+F150</f>
        <v>36857</v>
      </c>
      <c r="G146" s="38">
        <f>G147+G148+G149+G150</f>
        <v>37156</v>
      </c>
      <c r="H146" s="38">
        <f t="shared" ref="H146:N146" si="87">H147+H148+H149+H150</f>
        <v>4906</v>
      </c>
      <c r="I146" s="38">
        <f t="shared" si="87"/>
        <v>8436</v>
      </c>
      <c r="J146" s="38">
        <f t="shared" si="87"/>
        <v>3403</v>
      </c>
      <c r="K146" s="38">
        <f t="shared" si="87"/>
        <v>7146</v>
      </c>
      <c r="L146" s="38">
        <f t="shared" si="87"/>
        <v>5564</v>
      </c>
      <c r="M146" s="38">
        <f t="shared" si="87"/>
        <v>4471</v>
      </c>
      <c r="N146" s="38">
        <f t="shared" si="87"/>
        <v>2931</v>
      </c>
      <c r="O146" s="139">
        <f t="shared" si="85"/>
        <v>100.02171022280115</v>
      </c>
      <c r="P146" s="37">
        <f t="shared" si="84"/>
        <v>2615</v>
      </c>
      <c r="Q146" s="123"/>
    </row>
    <row r="147" spans="1:17" ht="17.100000000000001" customHeight="1">
      <c r="A147" s="42">
        <v>1</v>
      </c>
      <c r="B147" s="44" t="s">
        <v>26</v>
      </c>
      <c r="C147" s="33" t="s">
        <v>41</v>
      </c>
      <c r="D147" s="60">
        <v>205</v>
      </c>
      <c r="E147" s="50">
        <v>120</v>
      </c>
      <c r="F147" s="50">
        <f>H147+I147+J147+K147+L147+M147+N147</f>
        <v>164</v>
      </c>
      <c r="G147" s="50">
        <f>F147</f>
        <v>164</v>
      </c>
      <c r="H147" s="50">
        <f>105-6</f>
        <v>99</v>
      </c>
      <c r="I147" s="50">
        <v>5</v>
      </c>
      <c r="J147" s="50">
        <f>50-7</f>
        <v>43</v>
      </c>
      <c r="K147" s="50">
        <v>0</v>
      </c>
      <c r="L147" s="53">
        <v>3</v>
      </c>
      <c r="M147" s="50">
        <f>18-6</f>
        <v>12</v>
      </c>
      <c r="N147" s="50">
        <v>2</v>
      </c>
      <c r="O147" s="143">
        <f t="shared" si="85"/>
        <v>136.66666666666666</v>
      </c>
      <c r="P147" s="141">
        <f t="shared" si="84"/>
        <v>-41</v>
      </c>
    </row>
    <row r="148" spans="1:17" ht="17.100000000000001" customHeight="1">
      <c r="A148" s="42">
        <v>2</v>
      </c>
      <c r="B148" s="44" t="s">
        <v>27</v>
      </c>
      <c r="C148" s="33" t="s">
        <v>41</v>
      </c>
      <c r="D148" s="60">
        <v>10940</v>
      </c>
      <c r="E148" s="50">
        <v>11250</v>
      </c>
      <c r="F148" s="50">
        <f t="shared" ref="F148:F151" si="88">H148+I148+J148+K148+L148+M148+N148</f>
        <v>10471</v>
      </c>
      <c r="G148" s="50">
        <f>E148</f>
        <v>11250</v>
      </c>
      <c r="H148" s="50">
        <f>1795+2+34</f>
        <v>1831</v>
      </c>
      <c r="I148" s="50">
        <v>2071</v>
      </c>
      <c r="J148" s="50">
        <f>1665+2+46</f>
        <v>1713</v>
      </c>
      <c r="K148" s="50">
        <f>2277+2+37</f>
        <v>2316</v>
      </c>
      <c r="L148" s="50">
        <f>985+4+53</f>
        <v>1042</v>
      </c>
      <c r="M148" s="50">
        <f>610+3+28</f>
        <v>641</v>
      </c>
      <c r="N148" s="50">
        <f>817+2+38</f>
        <v>857</v>
      </c>
      <c r="O148" s="143">
        <f t="shared" si="85"/>
        <v>93.075555555555553</v>
      </c>
      <c r="P148" s="141">
        <f t="shared" si="84"/>
        <v>-469</v>
      </c>
    </row>
    <row r="149" spans="1:17" ht="17.100000000000001" customHeight="1">
      <c r="A149" s="42">
        <v>3</v>
      </c>
      <c r="B149" s="44" t="s">
        <v>28</v>
      </c>
      <c r="C149" s="33" t="s">
        <v>41</v>
      </c>
      <c r="D149" s="60">
        <v>20072</v>
      </c>
      <c r="E149" s="50">
        <v>22500</v>
      </c>
      <c r="F149" s="50">
        <f t="shared" si="88"/>
        <v>22980</v>
      </c>
      <c r="G149" s="50">
        <f>E149</f>
        <v>22500</v>
      </c>
      <c r="H149" s="50">
        <f>2105+12</f>
        <v>2117</v>
      </c>
      <c r="I149" s="50">
        <v>5996</v>
      </c>
      <c r="J149" s="50">
        <f>987+11+34</f>
        <v>1032</v>
      </c>
      <c r="K149" s="50">
        <v>4624</v>
      </c>
      <c r="L149" s="50">
        <f>3804+34+168</f>
        <v>4006</v>
      </c>
      <c r="M149" s="50">
        <f>3560+28+86</f>
        <v>3674</v>
      </c>
      <c r="N149" s="50">
        <f>1446+17+68</f>
        <v>1531</v>
      </c>
      <c r="O149" s="143">
        <f t="shared" si="85"/>
        <v>102.13333333333334</v>
      </c>
      <c r="P149" s="141">
        <f t="shared" si="84"/>
        <v>2908</v>
      </c>
    </row>
    <row r="150" spans="1:17" ht="17.100000000000001" customHeight="1">
      <c r="A150" s="42">
        <v>4</v>
      </c>
      <c r="B150" s="44" t="s">
        <v>29</v>
      </c>
      <c r="C150" s="33" t="s">
        <v>41</v>
      </c>
      <c r="D150" s="60">
        <v>3025</v>
      </c>
      <c r="E150" s="50">
        <v>2979</v>
      </c>
      <c r="F150" s="50">
        <f t="shared" si="88"/>
        <v>3242</v>
      </c>
      <c r="G150" s="50">
        <f>F150</f>
        <v>3242</v>
      </c>
      <c r="H150" s="50">
        <f>831+22+6</f>
        <v>859</v>
      </c>
      <c r="I150" s="50">
        <v>364</v>
      </c>
      <c r="J150" s="50">
        <f>570+36+9</f>
        <v>615</v>
      </c>
      <c r="K150" s="50">
        <f>172+27+7</f>
        <v>206</v>
      </c>
      <c r="L150" s="50">
        <f>487+14+12</f>
        <v>513</v>
      </c>
      <c r="M150" s="50">
        <f>103+17+24</f>
        <v>144</v>
      </c>
      <c r="N150" s="50">
        <f>509+18+14</f>
        <v>541</v>
      </c>
      <c r="O150" s="143">
        <f t="shared" si="85"/>
        <v>108.82846592816382</v>
      </c>
      <c r="P150" s="141">
        <f t="shared" si="84"/>
        <v>217</v>
      </c>
    </row>
    <row r="151" spans="1:17" s="17" customFormat="1" ht="17.100000000000001" customHeight="1">
      <c r="A151" s="51" t="s">
        <v>31</v>
      </c>
      <c r="B151" s="36" t="s">
        <v>30</v>
      </c>
      <c r="C151" s="77" t="s">
        <v>41</v>
      </c>
      <c r="D151" s="72">
        <v>79165</v>
      </c>
      <c r="E151" s="38">
        <v>81430</v>
      </c>
      <c r="F151" s="35">
        <f t="shared" si="88"/>
        <v>83353</v>
      </c>
      <c r="G151" s="35">
        <f>E151</f>
        <v>81430</v>
      </c>
      <c r="H151" s="38">
        <f>7627+75+159</f>
        <v>7861</v>
      </c>
      <c r="I151" s="38">
        <f>13950+2358</f>
        <v>16308</v>
      </c>
      <c r="J151" s="38">
        <f>5098+386</f>
        <v>5484</v>
      </c>
      <c r="K151" s="38">
        <v>11695</v>
      </c>
      <c r="L151" s="38">
        <f>23739+2531</f>
        <v>26270</v>
      </c>
      <c r="M151" s="38">
        <f>10410+156</f>
        <v>10566</v>
      </c>
      <c r="N151" s="38">
        <f>5110+59</f>
        <v>5169</v>
      </c>
      <c r="O151" s="139">
        <f t="shared" si="85"/>
        <v>102.36153751688566</v>
      </c>
      <c r="P151" s="141">
        <f t="shared" si="84"/>
        <v>4188</v>
      </c>
      <c r="Q151" s="16"/>
    </row>
    <row r="152" spans="1:17" s="12" customFormat="1" ht="17.100000000000001" customHeight="1">
      <c r="A152" s="94" t="s">
        <v>33</v>
      </c>
      <c r="B152" s="95" t="s">
        <v>79</v>
      </c>
      <c r="C152" s="96"/>
      <c r="D152" s="85"/>
      <c r="E152" s="97"/>
      <c r="F152" s="97"/>
      <c r="G152" s="97"/>
      <c r="H152" s="35"/>
      <c r="I152" s="35"/>
      <c r="J152" s="35"/>
      <c r="K152" s="35"/>
      <c r="L152" s="35"/>
      <c r="M152" s="35"/>
      <c r="N152" s="35"/>
      <c r="O152" s="139"/>
      <c r="P152" s="141">
        <f t="shared" si="84"/>
        <v>0</v>
      </c>
    </row>
    <row r="153" spans="1:17" s="12" customFormat="1" ht="17.100000000000001" customHeight="1">
      <c r="A153" s="94" t="s">
        <v>64</v>
      </c>
      <c r="B153" s="95" t="s">
        <v>80</v>
      </c>
      <c r="C153" s="96" t="s">
        <v>37</v>
      </c>
      <c r="D153" s="86">
        <f>D155+D162</f>
        <v>181.9838</v>
      </c>
      <c r="E153" s="154">
        <v>191</v>
      </c>
      <c r="F153" s="154">
        <f>F155+F162</f>
        <v>190.78532999999999</v>
      </c>
      <c r="G153" s="86">
        <f t="shared" ref="G153:G162" si="89">F153</f>
        <v>190.78532999999999</v>
      </c>
      <c r="H153" s="98">
        <f t="shared" ref="H153:N153" si="90">H155+H162</f>
        <v>8.25</v>
      </c>
      <c r="I153" s="86">
        <f t="shared" si="90"/>
        <v>59.430000000000007</v>
      </c>
      <c r="J153" s="86">
        <f t="shared" si="90"/>
        <v>15.09</v>
      </c>
      <c r="K153" s="86">
        <f t="shared" si="90"/>
        <v>20.594000000000001</v>
      </c>
      <c r="L153" s="86">
        <f t="shared" si="90"/>
        <v>46.999999999999993</v>
      </c>
      <c r="M153" s="86">
        <f t="shared" si="90"/>
        <v>19.5</v>
      </c>
      <c r="N153" s="86">
        <f t="shared" si="90"/>
        <v>20.921330000000001</v>
      </c>
      <c r="O153" s="139">
        <f t="shared" si="85"/>
        <v>99.887607329842922</v>
      </c>
      <c r="P153" s="141">
        <f t="shared" si="84"/>
        <v>8.8015299999999854</v>
      </c>
    </row>
    <row r="154" spans="1:17" ht="17.100000000000001" customHeight="1">
      <c r="A154" s="94" t="s">
        <v>10</v>
      </c>
      <c r="B154" s="95" t="s">
        <v>131</v>
      </c>
      <c r="C154" s="96" t="s">
        <v>1</v>
      </c>
      <c r="D154" s="86">
        <v>60.94</v>
      </c>
      <c r="E154" s="86">
        <f>H154+I154+J154+K154+L154+M154+N154</f>
        <v>61.17</v>
      </c>
      <c r="F154" s="86">
        <f>F156+F159</f>
        <v>61.17</v>
      </c>
      <c r="G154" s="86">
        <f t="shared" si="89"/>
        <v>61.17</v>
      </c>
      <c r="H154" s="99">
        <f>H156+H159</f>
        <v>1.5</v>
      </c>
      <c r="I154" s="99">
        <f t="shared" ref="I154:N154" si="91">I156+I159</f>
        <v>13.9</v>
      </c>
      <c r="J154" s="99">
        <f t="shared" si="91"/>
        <v>4.59</v>
      </c>
      <c r="K154" s="99">
        <f t="shared" si="91"/>
        <v>4.95</v>
      </c>
      <c r="L154" s="99">
        <f t="shared" si="91"/>
        <v>10.039999999999999</v>
      </c>
      <c r="M154" s="99">
        <f t="shared" si="91"/>
        <v>3.6</v>
      </c>
      <c r="N154" s="99">
        <f t="shared" si="91"/>
        <v>22.59</v>
      </c>
      <c r="O154" s="139">
        <f t="shared" si="85"/>
        <v>100</v>
      </c>
      <c r="P154" s="141">
        <f t="shared" si="84"/>
        <v>0.23000000000000398</v>
      </c>
    </row>
    <row r="155" spans="1:17" s="12" customFormat="1" ht="17.100000000000001" customHeight="1">
      <c r="A155" s="100" t="s">
        <v>3</v>
      </c>
      <c r="B155" s="95" t="s">
        <v>85</v>
      </c>
      <c r="C155" s="101" t="s">
        <v>37</v>
      </c>
      <c r="D155" s="86">
        <f>D158+D161</f>
        <v>169.9838</v>
      </c>
      <c r="E155" s="86">
        <v>178</v>
      </c>
      <c r="F155" s="86">
        <f>F158+F161</f>
        <v>178.78532999999999</v>
      </c>
      <c r="G155" s="86">
        <f t="shared" si="89"/>
        <v>178.78532999999999</v>
      </c>
      <c r="H155" s="86">
        <f t="shared" ref="H155:N155" si="92">H158+H161</f>
        <v>6.75</v>
      </c>
      <c r="I155" s="86">
        <f t="shared" si="92"/>
        <v>57.430000000000007</v>
      </c>
      <c r="J155" s="86">
        <f t="shared" si="92"/>
        <v>13.59</v>
      </c>
      <c r="K155" s="86">
        <f t="shared" si="92"/>
        <v>18.594000000000001</v>
      </c>
      <c r="L155" s="86">
        <f t="shared" si="92"/>
        <v>45.499999999999993</v>
      </c>
      <c r="M155" s="86">
        <f t="shared" si="92"/>
        <v>18</v>
      </c>
      <c r="N155" s="86">
        <f t="shared" si="92"/>
        <v>18.921330000000001</v>
      </c>
      <c r="O155" s="139">
        <f t="shared" si="85"/>
        <v>100.44119662921347</v>
      </c>
      <c r="P155" s="141">
        <f t="shared" si="84"/>
        <v>8.8015299999999854</v>
      </c>
    </row>
    <row r="156" spans="1:17" s="12" customFormat="1" ht="17.100000000000001" customHeight="1">
      <c r="A156" s="94">
        <v>1</v>
      </c>
      <c r="B156" s="95" t="s">
        <v>81</v>
      </c>
      <c r="C156" s="96" t="s">
        <v>1</v>
      </c>
      <c r="D156" s="92">
        <v>34.14</v>
      </c>
      <c r="E156" s="86">
        <f>H156+I156+J156+K156+L156+M156+N156</f>
        <v>34.11</v>
      </c>
      <c r="F156" s="86">
        <f>H156+I156+J156+K156+L156+M156+N156</f>
        <v>34.11</v>
      </c>
      <c r="G156" s="86">
        <f t="shared" si="89"/>
        <v>34.11</v>
      </c>
      <c r="H156" s="99">
        <v>1.5</v>
      </c>
      <c r="I156" s="99">
        <v>10.9</v>
      </c>
      <c r="J156" s="99">
        <v>2.59</v>
      </c>
      <c r="K156" s="114">
        <v>3.69</v>
      </c>
      <c r="L156" s="99">
        <v>9.0399999999999991</v>
      </c>
      <c r="M156" s="99">
        <v>3.6</v>
      </c>
      <c r="N156" s="99">
        <v>2.79</v>
      </c>
      <c r="O156" s="139">
        <f t="shared" si="85"/>
        <v>100</v>
      </c>
      <c r="P156" s="141">
        <f t="shared" si="84"/>
        <v>-3.0000000000001137E-2</v>
      </c>
    </row>
    <row r="157" spans="1:17" ht="17.100000000000001" customHeight="1">
      <c r="A157" s="100" t="s">
        <v>3</v>
      </c>
      <c r="B157" s="102" t="s">
        <v>12</v>
      </c>
      <c r="C157" s="103" t="s">
        <v>2</v>
      </c>
      <c r="D157" s="92">
        <v>47.564089045108382</v>
      </c>
      <c r="E157" s="92">
        <f>E158/E156*10</f>
        <v>50.131926121372032</v>
      </c>
      <c r="F157" s="92">
        <f>F158/F156*10</f>
        <v>49.930498387569628</v>
      </c>
      <c r="G157" s="92">
        <f t="shared" si="89"/>
        <v>49.930498387569628</v>
      </c>
      <c r="H157" s="104">
        <v>45</v>
      </c>
      <c r="I157" s="104">
        <v>52</v>
      </c>
      <c r="J157" s="104">
        <v>50</v>
      </c>
      <c r="K157" s="104">
        <v>48</v>
      </c>
      <c r="L157" s="104">
        <v>50</v>
      </c>
      <c r="M157" s="104">
        <v>50</v>
      </c>
      <c r="N157" s="104">
        <v>46.67</v>
      </c>
      <c r="O157" s="143">
        <f t="shared" si="85"/>
        <v>99.598204678362563</v>
      </c>
      <c r="P157" s="141">
        <f t="shared" si="84"/>
        <v>2.366409342461246</v>
      </c>
    </row>
    <row r="158" spans="1:17" ht="17.100000000000001" customHeight="1">
      <c r="A158" s="100" t="s">
        <v>3</v>
      </c>
      <c r="B158" s="102" t="s">
        <v>13</v>
      </c>
      <c r="C158" s="103" t="s">
        <v>37</v>
      </c>
      <c r="D158" s="92">
        <v>162.38380000000001</v>
      </c>
      <c r="E158" s="92">
        <v>171</v>
      </c>
      <c r="F158" s="92">
        <f>H158+I158+J158+K158+L158+M158+N158</f>
        <v>170.31292999999999</v>
      </c>
      <c r="G158" s="92">
        <f t="shared" si="89"/>
        <v>170.31292999999999</v>
      </c>
      <c r="H158" s="104">
        <f t="shared" ref="H158:N158" si="93">H157*H156/10</f>
        <v>6.75</v>
      </c>
      <c r="I158" s="104">
        <f t="shared" si="93"/>
        <v>56.680000000000007</v>
      </c>
      <c r="J158" s="104">
        <f t="shared" si="93"/>
        <v>12.95</v>
      </c>
      <c r="K158" s="104">
        <f t="shared" si="93"/>
        <v>17.712</v>
      </c>
      <c r="L158" s="104">
        <f t="shared" si="93"/>
        <v>45.199999999999996</v>
      </c>
      <c r="M158" s="104">
        <f t="shared" si="93"/>
        <v>18</v>
      </c>
      <c r="N158" s="104">
        <f t="shared" si="93"/>
        <v>13.020930000000002</v>
      </c>
      <c r="O158" s="143">
        <f t="shared" si="85"/>
        <v>99.598204678362563</v>
      </c>
      <c r="P158" s="141">
        <f t="shared" si="84"/>
        <v>7.9291299999999865</v>
      </c>
    </row>
    <row r="159" spans="1:17" s="12" customFormat="1" ht="17.100000000000001" customHeight="1">
      <c r="A159" s="94">
        <v>2</v>
      </c>
      <c r="B159" s="95" t="s">
        <v>82</v>
      </c>
      <c r="C159" s="96" t="s">
        <v>1</v>
      </c>
      <c r="D159" s="92">
        <v>26.8</v>
      </c>
      <c r="E159" s="86">
        <f>H159+I159+J159+K159+L159+M159+N159</f>
        <v>27.060000000000002</v>
      </c>
      <c r="F159" s="86">
        <f>H159+I159+J159+K159+L159+M159+N159</f>
        <v>27.060000000000002</v>
      </c>
      <c r="G159" s="86">
        <f t="shared" si="89"/>
        <v>27.060000000000002</v>
      </c>
      <c r="H159" s="99">
        <v>0</v>
      </c>
      <c r="I159" s="99">
        <v>3</v>
      </c>
      <c r="J159" s="99">
        <v>2</v>
      </c>
      <c r="K159" s="99">
        <v>1.26</v>
      </c>
      <c r="L159" s="99">
        <v>1</v>
      </c>
      <c r="M159" s="99">
        <v>0</v>
      </c>
      <c r="N159" s="99">
        <v>19.8</v>
      </c>
      <c r="O159" s="139">
        <f t="shared" si="85"/>
        <v>100</v>
      </c>
      <c r="P159" s="141">
        <f t="shared" si="84"/>
        <v>0.26000000000000156</v>
      </c>
    </row>
    <row r="160" spans="1:17" ht="17.100000000000001" customHeight="1">
      <c r="A160" s="100" t="s">
        <v>3</v>
      </c>
      <c r="B160" s="102" t="s">
        <v>12</v>
      </c>
      <c r="C160" s="103" t="s">
        <v>2</v>
      </c>
      <c r="D160" s="92">
        <v>2.8358208955223878</v>
      </c>
      <c r="E160" s="73">
        <v>2.8</v>
      </c>
      <c r="F160" s="73">
        <f>F161/F159*10</f>
        <v>3.1309682187730967</v>
      </c>
      <c r="G160" s="73">
        <f t="shared" si="89"/>
        <v>3.1309682187730967</v>
      </c>
      <c r="H160" s="104">
        <v>0</v>
      </c>
      <c r="I160" s="104">
        <v>2.5</v>
      </c>
      <c r="J160" s="104">
        <v>3.2</v>
      </c>
      <c r="K160" s="104">
        <v>7</v>
      </c>
      <c r="L160" s="104">
        <v>3</v>
      </c>
      <c r="M160" s="104">
        <v>3</v>
      </c>
      <c r="N160" s="104">
        <v>2.98</v>
      </c>
      <c r="O160" s="143">
        <f t="shared" si="85"/>
        <v>111.8202935276106</v>
      </c>
      <c r="P160" s="141">
        <f t="shared" si="84"/>
        <v>0.29514732325070892</v>
      </c>
    </row>
    <row r="161" spans="1:16" ht="17.100000000000001" customHeight="1">
      <c r="A161" s="100" t="s">
        <v>3</v>
      </c>
      <c r="B161" s="102" t="s">
        <v>13</v>
      </c>
      <c r="C161" s="103" t="s">
        <v>37</v>
      </c>
      <c r="D161" s="92">
        <v>7.6000000000000005</v>
      </c>
      <c r="E161" s="73">
        <v>7.5</v>
      </c>
      <c r="F161" s="73">
        <f>H161+I161+J161+K161+L161+M161+N161</f>
        <v>8.4724000000000004</v>
      </c>
      <c r="G161" s="73">
        <f t="shared" si="89"/>
        <v>8.4724000000000004</v>
      </c>
      <c r="H161" s="104">
        <f t="shared" ref="H161:N161" si="94">H160*H159/10</f>
        <v>0</v>
      </c>
      <c r="I161" s="104">
        <f t="shared" si="94"/>
        <v>0.75</v>
      </c>
      <c r="J161" s="104">
        <f t="shared" si="94"/>
        <v>0.64</v>
      </c>
      <c r="K161" s="104">
        <f t="shared" si="94"/>
        <v>0.88200000000000001</v>
      </c>
      <c r="L161" s="104">
        <f t="shared" si="94"/>
        <v>0.3</v>
      </c>
      <c r="M161" s="104">
        <f t="shared" si="94"/>
        <v>0</v>
      </c>
      <c r="N161" s="104">
        <f t="shared" si="94"/>
        <v>5.9004000000000003</v>
      </c>
      <c r="O161" s="143">
        <f t="shared" si="85"/>
        <v>112.96533333333333</v>
      </c>
      <c r="P161" s="141">
        <f t="shared" si="84"/>
        <v>0.87239999999999984</v>
      </c>
    </row>
    <row r="162" spans="1:16" s="19" customFormat="1" ht="17.100000000000001" customHeight="1">
      <c r="A162" s="105" t="s">
        <v>31</v>
      </c>
      <c r="B162" s="106" t="s">
        <v>143</v>
      </c>
      <c r="C162" s="107" t="s">
        <v>37</v>
      </c>
      <c r="D162" s="108">
        <v>12</v>
      </c>
      <c r="E162" s="109">
        <v>13</v>
      </c>
      <c r="F162" s="109">
        <f>H162+I162+J162+K162+L162+M162+N162</f>
        <v>12</v>
      </c>
      <c r="G162" s="109">
        <f t="shared" si="89"/>
        <v>12</v>
      </c>
      <c r="H162" s="148">
        <v>1.5</v>
      </c>
      <c r="I162" s="149">
        <v>2</v>
      </c>
      <c r="J162" s="149">
        <v>1.5</v>
      </c>
      <c r="K162" s="149">
        <v>2</v>
      </c>
      <c r="L162" s="149">
        <v>1.5</v>
      </c>
      <c r="M162" s="149">
        <v>1.5</v>
      </c>
      <c r="N162" s="149">
        <v>2</v>
      </c>
      <c r="O162" s="143">
        <f t="shared" si="85"/>
        <v>92.307692307692307</v>
      </c>
      <c r="P162" s="146">
        <f t="shared" si="84"/>
        <v>0</v>
      </c>
    </row>
    <row r="164" spans="1:16" ht="15" customHeight="1">
      <c r="D164" s="14"/>
    </row>
    <row r="165" spans="1:16" ht="15" customHeight="1">
      <c r="D165" s="14"/>
    </row>
    <row r="166" spans="1:16" ht="15" customHeight="1">
      <c r="D166" s="15"/>
    </row>
    <row r="167" spans="1:16" ht="15" customHeight="1">
      <c r="D167" s="11"/>
    </row>
    <row r="168" spans="1:16" ht="15" customHeight="1">
      <c r="D168" s="11"/>
    </row>
    <row r="169" spans="1:16" ht="15" customHeight="1">
      <c r="D169" s="11"/>
    </row>
    <row r="170" spans="1:16" ht="15" customHeight="1">
      <c r="D170" s="11"/>
    </row>
    <row r="171" spans="1:16" ht="15" customHeight="1">
      <c r="D171" s="11"/>
    </row>
    <row r="172" spans="1:16" ht="15" customHeight="1">
      <c r="D172" s="11"/>
    </row>
    <row r="173" spans="1:16" ht="15" customHeight="1">
      <c r="D173" s="11"/>
    </row>
    <row r="174" spans="1:16" ht="15" customHeight="1">
      <c r="D174" s="11"/>
    </row>
    <row r="175" spans="1:16" ht="15" customHeight="1">
      <c r="D175" s="11"/>
    </row>
    <row r="176" spans="1:16" ht="15" customHeight="1">
      <c r="D176" s="11"/>
    </row>
    <row r="177" spans="4:4" ht="15" customHeight="1">
      <c r="D177" s="11"/>
    </row>
    <row r="178" spans="4:4" ht="15" customHeight="1">
      <c r="D178" s="11"/>
    </row>
    <row r="179" spans="4:4" ht="15" customHeight="1">
      <c r="D179" s="11"/>
    </row>
    <row r="180" spans="4:4" ht="15" customHeight="1">
      <c r="D180" s="11"/>
    </row>
    <row r="181" spans="4:4" ht="15" customHeight="1">
      <c r="D181" s="11"/>
    </row>
    <row r="182" spans="4:4" ht="15" customHeight="1">
      <c r="D182" s="11"/>
    </row>
    <row r="183" spans="4:4" ht="15" customHeight="1">
      <c r="D183" s="11"/>
    </row>
    <row r="184" spans="4:4" ht="15" customHeight="1">
      <c r="D184" s="11"/>
    </row>
    <row r="185" spans="4:4" ht="15" customHeight="1">
      <c r="D185" s="11"/>
    </row>
    <row r="186" spans="4:4" ht="15" customHeight="1">
      <c r="D186" s="11"/>
    </row>
    <row r="187" spans="4:4" ht="15" customHeight="1">
      <c r="D187" s="11"/>
    </row>
    <row r="188" spans="4:4" ht="15" customHeight="1">
      <c r="D188" s="11"/>
    </row>
    <row r="189" spans="4:4" ht="15" customHeight="1">
      <c r="D189" s="11"/>
    </row>
    <row r="190" spans="4:4" ht="15" customHeight="1">
      <c r="D190" s="11"/>
    </row>
    <row r="191" spans="4:4" ht="15" customHeight="1">
      <c r="D191" s="11"/>
    </row>
    <row r="192" spans="4:4" ht="15" customHeight="1">
      <c r="D192" s="11"/>
    </row>
    <row r="193" spans="4:4" ht="15" customHeight="1">
      <c r="D193" s="11"/>
    </row>
    <row r="194" spans="4:4" ht="15" customHeight="1">
      <c r="D194" s="11"/>
    </row>
    <row r="195" spans="4:4" ht="15" customHeight="1">
      <c r="D195" s="11"/>
    </row>
    <row r="196" spans="4:4" ht="15" customHeight="1">
      <c r="D196" s="11"/>
    </row>
    <row r="197" spans="4:4" ht="15" customHeight="1">
      <c r="D197" s="11"/>
    </row>
    <row r="198" spans="4:4" ht="15" customHeight="1">
      <c r="D198" s="11"/>
    </row>
  </sheetData>
  <mergeCells count="12">
    <mergeCell ref="P3:P4"/>
    <mergeCell ref="A1:P1"/>
    <mergeCell ref="A2:P2"/>
    <mergeCell ref="O3:O4"/>
    <mergeCell ref="G3:G4"/>
    <mergeCell ref="D3:D4"/>
    <mergeCell ref="A3:A4"/>
    <mergeCell ref="B3:B4"/>
    <mergeCell ref="C3:C4"/>
    <mergeCell ref="E3:E4"/>
    <mergeCell ref="H3:N3"/>
    <mergeCell ref="F3:F4"/>
  </mergeCells>
  <pageMargins left="0.3" right="0.17" top="0.25" bottom="0.23" header="0.16" footer="0.17"/>
  <pageSetup orientation="landscape" r:id="rId1"/>
  <headerFooter alignWithMargins="0"/>
  <ignoredErrors>
    <ignoredError sqref="G16:N16 E28:F28 E32:F32 E43 E47:F47 E84 E16 E89 E154:E160 F157 F160 F95:F97 F86:F93 F75:F76 F48:F70 F39:F46 G36:N36 G24:N24 F16:F20 F99:F102 E24 E36 E39 F78:F81 F24 F36 G114 G106 G110 K132 E91 F127 G149:G150 G153:G154 G155 G118 G122" formula="1"/>
    <ignoredError sqref="H118:N118 E127 F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>
      <c r="A1" s="1" t="s">
        <v>71</v>
      </c>
    </row>
    <row r="2" spans="1:3" ht="13.5" thickBot="1">
      <c r="A2" s="1" t="s">
        <v>63</v>
      </c>
    </row>
    <row r="3" spans="1:3" ht="13.5" thickBot="1">
      <c r="A3" s="3" t="s">
        <v>59</v>
      </c>
      <c r="C3" s="4" t="s">
        <v>48</v>
      </c>
    </row>
    <row r="4" spans="1:3">
      <c r="A4" s="3">
        <v>3</v>
      </c>
    </row>
    <row r="6" spans="1:3" ht="13.5" thickBot="1"/>
    <row r="7" spans="1:3">
      <c r="A7" s="5" t="s">
        <v>49</v>
      </c>
    </row>
    <row r="8" spans="1:3">
      <c r="A8" s="6" t="s">
        <v>50</v>
      </c>
    </row>
    <row r="9" spans="1:3">
      <c r="A9" s="7" t="s">
        <v>51</v>
      </c>
    </row>
    <row r="10" spans="1:3">
      <c r="A10" s="6" t="s">
        <v>52</v>
      </c>
    </row>
    <row r="11" spans="1:3" ht="13.5" thickBot="1">
      <c r="A11" s="8" t="s">
        <v>53</v>
      </c>
    </row>
    <row r="13" spans="1:3" ht="13.5" thickBot="1"/>
    <row r="14" spans="1:3" ht="13.5" thickBot="1">
      <c r="A14" s="4" t="s">
        <v>54</v>
      </c>
    </row>
    <row r="16" spans="1:3" ht="13.5" thickBot="1"/>
    <row r="17" spans="1:3" ht="13.5" thickBot="1">
      <c r="C17" s="4" t="s">
        <v>55</v>
      </c>
    </row>
    <row r="20" spans="1:3">
      <c r="A20" s="9" t="s">
        <v>56</v>
      </c>
    </row>
    <row r="26" spans="1:3" ht="13.5" thickBot="1">
      <c r="C26" s="10" t="s">
        <v>57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Ước năm 2022</vt:lpstr>
      <vt:lpstr>zAVlCQg4</vt:lpstr>
      <vt:lpstr>_Builtin0</vt:lpstr>
      <vt:lpstr>Bust</vt:lpstr>
      <vt:lpstr>Continue</vt:lpstr>
      <vt:lpstr>Documents_array</vt:lpstr>
      <vt:lpstr>Hello</vt:lpstr>
      <vt:lpstr>'Ước năm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Nguyen</cp:lastModifiedBy>
  <cp:lastPrinted>2022-11-26T02:57:03Z</cp:lastPrinted>
  <dcterms:created xsi:type="dcterms:W3CDTF">1996-10-14T23:33:28Z</dcterms:created>
  <dcterms:modified xsi:type="dcterms:W3CDTF">2022-11-26T03:00:44Z</dcterms:modified>
</cp:coreProperties>
</file>